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AP Rate Studies\CAP RATE STUDY 2026\2026 CAP Rate Study - All Industries - Worksheets\publish to website\"/>
    </mc:Choice>
  </mc:AlternateContent>
  <xr:revisionPtr revIDLastSave="0" documentId="8_{2A5AE801-DACA-4CB0-994D-CD9BCEAA78D3}" xr6:coauthVersionLast="47" xr6:coauthVersionMax="47" xr10:uidLastSave="{00000000-0000-0000-0000-000000000000}"/>
  <bookViews>
    <workbookView xWindow="28680" yWindow="-45" windowWidth="29040" windowHeight="15720" tabRatio="731" firstSheet="5" activeTab="13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Dividends " sheetId="17" r:id="rId8"/>
    <sheet name="Earnings" sheetId="27" r:id="rId9"/>
    <sheet name="Debt" sheetId="8" r:id="rId10"/>
    <sheet name="Direct GCF" sheetId="5" r:id="rId11"/>
    <sheet name="Direct NOPAT" sheetId="12" r:id="rId12"/>
    <sheet name="CAPM" sheetId="35" r:id="rId13"/>
    <sheet name="Growth &amp; Inflation Rates" sheetId="40" r:id="rId14"/>
    <sheet name="Indicated Yield Equity Rate " sheetId="34" r:id="rId15"/>
    <sheet name="Single Stage Div Growth Model" sheetId="19" r:id="rId16"/>
    <sheet name="Two-Stage Dividend Growth Model" sheetId="20" r:id="rId17"/>
    <sheet name="Multiples" sheetId="31" r:id="rId18"/>
    <sheet name="Info" sheetId="9" r:id="rId19"/>
  </sheets>
  <definedNames>
    <definedName name="_xlnm.Print_Area" localSheetId="6">'Beta for CAPM'!$A$1:$H$43</definedName>
    <definedName name="_xlnm.Print_Area" localSheetId="12">CAPM!$A$1:$H$85</definedName>
    <definedName name="_xlnm.Print_Area" localSheetId="0">'Cover Sheet'!$A$1:$I$37</definedName>
    <definedName name="_xlnm.Print_Area" localSheetId="9">Debt!$A$1:$M$68</definedName>
    <definedName name="_xlnm.Print_Area" localSheetId="2">'Direct CapRates'!$A$1:$H$66</definedName>
    <definedName name="_xlnm.Print_Area" localSheetId="10">'Direct GCF'!$A$1:$N$43</definedName>
    <definedName name="_xlnm.Print_Area" localSheetId="11">'Direct NOPAT'!$A$1:$N$76</definedName>
    <definedName name="_xlnm.Print_Area" localSheetId="7">'Dividends '!$A$1:$K$39</definedName>
    <definedName name="_xlnm.Print_Area" localSheetId="8">Earnings!$A$1:$K$39</definedName>
    <definedName name="_xlnm.Print_Area" localSheetId="13">'Growth &amp; Inflation Rates'!$A$1:$I$108</definedName>
    <definedName name="_xlnm.Print_Area" localSheetId="14">'Indicated Yield Equity Rate '!$A$1:$F$60</definedName>
    <definedName name="_xlnm.Print_Area" localSheetId="5">'Maintenance CapEx'!$A$1:$L$85</definedName>
    <definedName name="_xlnm.Print_Area" localSheetId="4">'Market to Book Ratios'!$A$1:$G$76</definedName>
    <definedName name="_xlnm.Print_Area" localSheetId="17">Multiples!$A$1:$J$47</definedName>
    <definedName name="_xlnm.Print_Area" localSheetId="3">'S&amp;D'!$A$1:$L$87</definedName>
    <definedName name="_xlnm.Print_Area" localSheetId="15">'Single Stage Div Growth Model'!$A$1:$K$53</definedName>
    <definedName name="_xlnm.Print_Area" localSheetId="16">'Two-Stage Dividend Growth Model'!$A$1:$I$51</definedName>
    <definedName name="_xlnm.Print_Area" localSheetId="1">'Yield CapRate'!$A$1:$H$35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6" i="14" l="1"/>
  <c r="H35" i="14"/>
  <c r="D20" i="11"/>
  <c r="E29" i="11"/>
  <c r="D29" i="11"/>
  <c r="D34" i="11"/>
  <c r="G29" i="11"/>
  <c r="D24" i="11"/>
  <c r="F49" i="40"/>
  <c r="F47" i="40"/>
  <c r="F46" i="40"/>
  <c r="F45" i="40"/>
  <c r="F44" i="40"/>
  <c r="F43" i="40"/>
  <c r="F42" i="40"/>
  <c r="F41" i="40"/>
  <c r="D30" i="12"/>
  <c r="C26" i="14" l="1"/>
  <c r="A25" i="14"/>
  <c r="E36" i="29"/>
  <c r="D33" i="11"/>
  <c r="D32" i="11"/>
  <c r="D31" i="11"/>
  <c r="D28" i="11"/>
  <c r="D21" i="11"/>
  <c r="J34" i="3"/>
  <c r="G58" i="3" s="1"/>
  <c r="J33" i="3"/>
  <c r="G57" i="3" s="1"/>
  <c r="J32" i="3"/>
  <c r="G56" i="3" s="1"/>
  <c r="F55" i="3"/>
  <c r="H24" i="3"/>
  <c r="J31" i="3"/>
  <c r="G55" i="3" s="1"/>
  <c r="J30" i="3"/>
  <c r="G54" i="3" s="1"/>
  <c r="J29" i="3"/>
  <c r="G53" i="3" s="1"/>
  <c r="H29" i="3"/>
  <c r="J28" i="3"/>
  <c r="G52" i="3" s="1"/>
  <c r="J27" i="3" l="1"/>
  <c r="G51" i="3" s="1"/>
  <c r="J24" i="3"/>
  <c r="G48" i="3" s="1"/>
  <c r="J23" i="3"/>
  <c r="G47" i="3" s="1"/>
  <c r="J22" i="3" l="1"/>
  <c r="G46" i="3" s="1"/>
  <c r="G59" i="3" l="1"/>
  <c r="F60" i="3" l="1"/>
  <c r="J36" i="3"/>
  <c r="G60" i="3" s="1"/>
  <c r="F50" i="3"/>
  <c r="J26" i="3"/>
  <c r="G50" i="3" s="1"/>
  <c r="J25" i="3"/>
  <c r="G49" i="3" s="1"/>
  <c r="F22" i="11" l="1"/>
  <c r="G40" i="5" l="1"/>
  <c r="D58" i="10" l="1"/>
  <c r="D25" i="10"/>
  <c r="C16" i="35" l="1"/>
  <c r="D16" i="35" s="1"/>
  <c r="F21" i="20" l="1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I15" i="8"/>
  <c r="J15" i="8" s="1"/>
  <c r="I16" i="8"/>
  <c r="J16" i="8" s="1"/>
  <c r="I17" i="8"/>
  <c r="J17" i="8" s="1"/>
  <c r="I18" i="8"/>
  <c r="J18" i="8" s="1"/>
  <c r="I19" i="8"/>
  <c r="J19" i="8" s="1"/>
  <c r="I20" i="8"/>
  <c r="J20" i="8" s="1"/>
  <c r="I21" i="8"/>
  <c r="J21" i="8" s="1"/>
  <c r="I22" i="8"/>
  <c r="J22" i="8" s="1"/>
  <c r="I23" i="8"/>
  <c r="J23" i="8" s="1"/>
  <c r="I24" i="8"/>
  <c r="J24" i="8" s="1"/>
  <c r="I25" i="8"/>
  <c r="J25" i="8" s="1"/>
  <c r="I26" i="8"/>
  <c r="J26" i="8" s="1"/>
  <c r="I27" i="8"/>
  <c r="J27" i="8" s="1"/>
  <c r="I28" i="8"/>
  <c r="J28" i="8" s="1"/>
  <c r="I29" i="8"/>
  <c r="J29" i="8" s="1"/>
  <c r="K27" i="27"/>
  <c r="K29" i="27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A43" i="35" l="1"/>
  <c r="A42" i="35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F59" i="35"/>
  <c r="F58" i="35"/>
  <c r="F57" i="35"/>
  <c r="F55" i="35"/>
  <c r="F54" i="35"/>
  <c r="F52" i="35"/>
  <c r="F50" i="35"/>
  <c r="F48" i="35"/>
  <c r="F47" i="35"/>
  <c r="F46" i="35"/>
  <c r="F45" i="35"/>
  <c r="F43" i="35"/>
  <c r="F42" i="35"/>
  <c r="E33" i="35"/>
  <c r="E32" i="35"/>
  <c r="E31" i="35"/>
  <c r="E29" i="35"/>
  <c r="E28" i="35"/>
  <c r="E26" i="35"/>
  <c r="E24" i="35"/>
  <c r="E22" i="35"/>
  <c r="E21" i="35"/>
  <c r="E20" i="35"/>
  <c r="E19" i="35"/>
  <c r="E17" i="35"/>
  <c r="E16" i="35"/>
  <c r="F16" i="35" s="1"/>
  <c r="E53" i="40"/>
  <c r="D53" i="40"/>
  <c r="E52" i="40"/>
  <c r="D52" i="40"/>
  <c r="E51" i="40"/>
  <c r="D51" i="40"/>
  <c r="E50" i="40"/>
  <c r="D50" i="40"/>
  <c r="F50" i="40"/>
  <c r="A15" i="40"/>
  <c r="F52" i="40" l="1"/>
  <c r="F53" i="40"/>
  <c r="F51" i="40"/>
  <c r="H33" i="19" l="1"/>
  <c r="G33" i="19"/>
  <c r="H32" i="19"/>
  <c r="G32" i="19"/>
  <c r="E71" i="12"/>
  <c r="E70" i="12"/>
  <c r="K33" i="12"/>
  <c r="K32" i="12"/>
  <c r="E33" i="12"/>
  <c r="E32" i="12"/>
  <c r="J34" i="5"/>
  <c r="J33" i="5"/>
  <c r="D34" i="5"/>
  <c r="D33" i="5"/>
  <c r="J32" i="8"/>
  <c r="I32" i="8"/>
  <c r="J31" i="8"/>
  <c r="I31" i="8"/>
  <c r="G32" i="8"/>
  <c r="G31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I33" i="27" l="1"/>
  <c r="G33" i="27"/>
  <c r="I32" i="27"/>
  <c r="G32" i="27"/>
  <c r="E33" i="27"/>
  <c r="E32" i="27"/>
  <c r="I33" i="17"/>
  <c r="G33" i="17"/>
  <c r="I32" i="17"/>
  <c r="G32" i="17"/>
  <c r="E33" i="17"/>
  <c r="E32" i="17"/>
  <c r="H34" i="14"/>
  <c r="H33" i="14"/>
  <c r="G31" i="10" l="1"/>
  <c r="B46" i="35"/>
  <c r="E46" i="35" s="1"/>
  <c r="A46" i="35"/>
  <c r="D23" i="7"/>
  <c r="F23" i="7" s="1"/>
  <c r="A16" i="6"/>
  <c r="D16" i="7"/>
  <c r="D15" i="10"/>
  <c r="A6" i="31"/>
  <c r="A6" i="20"/>
  <c r="A6" i="19"/>
  <c r="B58" i="35"/>
  <c r="E58" i="35" s="1"/>
  <c r="A59" i="35"/>
  <c r="A58" i="35"/>
  <c r="A57" i="35"/>
  <c r="A48" i="35"/>
  <c r="A47" i="35"/>
  <c r="A45" i="35"/>
  <c r="B48" i="35"/>
  <c r="E48" i="35" s="1"/>
  <c r="B47" i="35"/>
  <c r="E47" i="35" s="1"/>
  <c r="A6" i="35"/>
  <c r="A6" i="34"/>
  <c r="A6" i="12"/>
  <c r="A6" i="5"/>
  <c r="A6" i="8"/>
  <c r="A9" i="29"/>
  <c r="A8" i="11"/>
  <c r="A8" i="14"/>
  <c r="A6" i="27"/>
  <c r="A6" i="17"/>
  <c r="C42" i="35"/>
  <c r="B59" i="35"/>
  <c r="E59" i="35" s="1"/>
  <c r="B57" i="35"/>
  <c r="E57" i="35" s="1"/>
  <c r="B55" i="35"/>
  <c r="E55" i="35" s="1"/>
  <c r="B54" i="35"/>
  <c r="E54" i="35" s="1"/>
  <c r="B52" i="35"/>
  <c r="E52" i="35" s="1"/>
  <c r="B50" i="35"/>
  <c r="E50" i="35" s="1"/>
  <c r="B45" i="35"/>
  <c r="E45" i="35" s="1"/>
  <c r="B43" i="35"/>
  <c r="E43" i="35" s="1"/>
  <c r="B42" i="35"/>
  <c r="E42" i="35" s="1"/>
  <c r="D43" i="34"/>
  <c r="D42" i="34"/>
  <c r="D41" i="34"/>
  <c r="D40" i="34"/>
  <c r="C20" i="35" l="1"/>
  <c r="D20" i="35" s="1"/>
  <c r="C21" i="35"/>
  <c r="D21" i="35" s="1"/>
  <c r="D14" i="34"/>
  <c r="C22" i="35"/>
  <c r="D22" i="35" s="1"/>
  <c r="D42" i="35"/>
  <c r="C17" i="35"/>
  <c r="C19" i="35"/>
  <c r="C24" i="35"/>
  <c r="D24" i="35" s="1"/>
  <c r="C26" i="35"/>
  <c r="D26" i="35" s="1"/>
  <c r="C28" i="35"/>
  <c r="D28" i="35" s="1"/>
  <c r="C29" i="35"/>
  <c r="D29" i="35" s="1"/>
  <c r="C31" i="35"/>
  <c r="D31" i="35" s="1"/>
  <c r="C33" i="35"/>
  <c r="D33" i="35" s="1"/>
  <c r="C45" i="35" l="1"/>
  <c r="D19" i="35"/>
  <c r="C32" i="35"/>
  <c r="D32" i="35" s="1"/>
  <c r="D17" i="35"/>
  <c r="F20" i="35"/>
  <c r="D17" i="34" s="1"/>
  <c r="C46" i="35"/>
  <c r="D46" i="35" s="1"/>
  <c r="G46" i="35" s="1"/>
  <c r="D30" i="34" s="1"/>
  <c r="C58" i="35"/>
  <c r="D58" i="35" s="1"/>
  <c r="F22" i="35"/>
  <c r="D19" i="34" s="1"/>
  <c r="C48" i="35"/>
  <c r="D48" i="35" s="1"/>
  <c r="G48" i="35" s="1"/>
  <c r="D32" i="34" s="1"/>
  <c r="F21" i="35"/>
  <c r="D18" i="34" s="1"/>
  <c r="C47" i="35"/>
  <c r="D47" i="35" s="1"/>
  <c r="G47" i="35" s="1"/>
  <c r="D31" i="34" s="1"/>
  <c r="G42" i="35"/>
  <c r="D27" i="34" s="1"/>
  <c r="C55" i="35"/>
  <c r="D55" i="35" s="1"/>
  <c r="G55" i="35" s="1"/>
  <c r="D36" i="34" s="1"/>
  <c r="F29" i="35"/>
  <c r="D23" i="34" s="1"/>
  <c r="C59" i="35"/>
  <c r="D59" i="35" s="1"/>
  <c r="G59" i="35" s="1"/>
  <c r="D39" i="34" s="1"/>
  <c r="D45" i="35"/>
  <c r="G45" i="35" s="1"/>
  <c r="D29" i="34" s="1"/>
  <c r="F19" i="35"/>
  <c r="D16" i="34" s="1"/>
  <c r="F28" i="35"/>
  <c r="D22" i="34" s="1"/>
  <c r="C54" i="35"/>
  <c r="D54" i="35" s="1"/>
  <c r="G54" i="35" s="1"/>
  <c r="D35" i="34" s="1"/>
  <c r="F17" i="35"/>
  <c r="D15" i="34" s="1"/>
  <c r="C43" i="35"/>
  <c r="D43" i="35" s="1"/>
  <c r="F33" i="35"/>
  <c r="D26" i="34" s="1"/>
  <c r="C52" i="35"/>
  <c r="D52" i="35" s="1"/>
  <c r="G52" i="35" s="1"/>
  <c r="D34" i="34" s="1"/>
  <c r="F26" i="35"/>
  <c r="D21" i="34" s="1"/>
  <c r="F31" i="35"/>
  <c r="D24" i="34" s="1"/>
  <c r="C57" i="35"/>
  <c r="D57" i="35" s="1"/>
  <c r="G57" i="35" s="1"/>
  <c r="D37" i="34" s="1"/>
  <c r="F24" i="35"/>
  <c r="D20" i="34" s="1"/>
  <c r="C50" i="35"/>
  <c r="D50" i="35" s="1"/>
  <c r="G50" i="35" s="1"/>
  <c r="D33" i="34" s="1"/>
  <c r="F32" i="35" l="1"/>
  <c r="D25" i="34" s="1"/>
  <c r="G58" i="35"/>
  <c r="D38" i="34" s="1"/>
  <c r="G43" i="35"/>
  <c r="D28" i="34" s="1"/>
  <c r="D47" i="34" l="1"/>
  <c r="D46" i="34"/>
  <c r="D45" i="34"/>
  <c r="D48" i="34"/>
  <c r="E60" i="3" l="1"/>
  <c r="C59" i="3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C35" i="20"/>
  <c r="B35" i="20"/>
  <c r="C34" i="20"/>
  <c r="B34" i="20"/>
  <c r="C33" i="20"/>
  <c r="B33" i="20"/>
  <c r="C32" i="20"/>
  <c r="B32" i="20"/>
  <c r="C31" i="20"/>
  <c r="B31" i="20"/>
  <c r="C30" i="20"/>
  <c r="B30" i="20"/>
  <c r="C29" i="20"/>
  <c r="B29" i="20"/>
  <c r="C28" i="20"/>
  <c r="B28" i="20"/>
  <c r="C27" i="20"/>
  <c r="B27" i="20"/>
  <c r="C26" i="20"/>
  <c r="B26" i="20"/>
  <c r="C25" i="20"/>
  <c r="B25" i="20"/>
  <c r="C24" i="20"/>
  <c r="B24" i="20"/>
  <c r="C23" i="20"/>
  <c r="B23" i="20"/>
  <c r="C22" i="20"/>
  <c r="B22" i="20"/>
  <c r="C21" i="20"/>
  <c r="B21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C24" i="19"/>
  <c r="B24" i="19"/>
  <c r="A24" i="19"/>
  <c r="C23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C18" i="19"/>
  <c r="B18" i="19"/>
  <c r="A18" i="19"/>
  <c r="C17" i="19"/>
  <c r="B17" i="19"/>
  <c r="A17" i="19"/>
  <c r="C30" i="12" l="1"/>
  <c r="A30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23" i="12"/>
  <c r="A23" i="12"/>
  <c r="C22" i="12"/>
  <c r="A22" i="12"/>
  <c r="C21" i="12"/>
  <c r="A21" i="12"/>
  <c r="C20" i="12"/>
  <c r="A20" i="12"/>
  <c r="C19" i="12"/>
  <c r="A19" i="12"/>
  <c r="C18" i="12"/>
  <c r="A18" i="12"/>
  <c r="C17" i="12"/>
  <c r="A17" i="12"/>
  <c r="C16" i="12"/>
  <c r="A16" i="12"/>
  <c r="C68" i="12"/>
  <c r="A68" i="12"/>
  <c r="C67" i="12"/>
  <c r="A67" i="12"/>
  <c r="C66" i="12"/>
  <c r="A66" i="12"/>
  <c r="C65" i="12"/>
  <c r="A65" i="12"/>
  <c r="C64" i="12"/>
  <c r="A64" i="12"/>
  <c r="C63" i="12"/>
  <c r="A63" i="12"/>
  <c r="C62" i="12"/>
  <c r="A62" i="12"/>
  <c r="C61" i="12"/>
  <c r="A61" i="12"/>
  <c r="C60" i="12"/>
  <c r="A60" i="12"/>
  <c r="C59" i="12"/>
  <c r="A59" i="12"/>
  <c r="C58" i="12"/>
  <c r="A58" i="12"/>
  <c r="C57" i="12"/>
  <c r="A57" i="12"/>
  <c r="C56" i="12"/>
  <c r="A56" i="12"/>
  <c r="C55" i="12"/>
  <c r="A55" i="12"/>
  <c r="C54" i="12"/>
  <c r="A54" i="12"/>
  <c r="E58" i="29" l="1"/>
  <c r="E56" i="29"/>
  <c r="D56" i="29"/>
  <c r="D55" i="29"/>
  <c r="D60" i="3" l="1"/>
  <c r="C60" i="3"/>
  <c r="B60" i="3"/>
  <c r="B59" i="3"/>
  <c r="D58" i="3"/>
  <c r="C58" i="3"/>
  <c r="B58" i="3"/>
  <c r="D57" i="3"/>
  <c r="C57" i="3"/>
  <c r="B57" i="3"/>
  <c r="D56" i="3"/>
  <c r="C56" i="3"/>
  <c r="B56" i="3"/>
  <c r="D55" i="3"/>
  <c r="C55" i="3"/>
  <c r="B55" i="3"/>
  <c r="D54" i="3"/>
  <c r="C54" i="3"/>
  <c r="B54" i="3"/>
  <c r="C53" i="3"/>
  <c r="B53" i="3"/>
  <c r="D52" i="3"/>
  <c r="C52" i="3"/>
  <c r="B52" i="3"/>
  <c r="E23" i="19" l="1"/>
  <c r="E28" i="19"/>
  <c r="E26" i="19"/>
  <c r="E29" i="19"/>
  <c r="E25" i="19"/>
  <c r="E27" i="19"/>
  <c r="E31" i="19"/>
  <c r="H60" i="3"/>
  <c r="J60" i="3" s="1"/>
  <c r="G34" i="8"/>
  <c r="G33" i="8"/>
  <c r="D68" i="12" l="1"/>
  <c r="F68" i="12" s="1"/>
  <c r="G68" i="12" s="1"/>
  <c r="D67" i="12"/>
  <c r="F67" i="12" s="1"/>
  <c r="G67" i="12" s="1"/>
  <c r="D66" i="12"/>
  <c r="F66" i="12" s="1"/>
  <c r="G66" i="12" s="1"/>
  <c r="D65" i="12"/>
  <c r="F65" i="12" s="1"/>
  <c r="G65" i="12" s="1"/>
  <c r="D64" i="12"/>
  <c r="F64" i="12" s="1"/>
  <c r="G64" i="12" s="1"/>
  <c r="D63" i="12"/>
  <c r="F63" i="12" s="1"/>
  <c r="G63" i="12" s="1"/>
  <c r="D62" i="12"/>
  <c r="F62" i="12" s="1"/>
  <c r="G62" i="12" s="1"/>
  <c r="D61" i="12"/>
  <c r="F61" i="12" s="1"/>
  <c r="G61" i="12" s="1"/>
  <c r="D60" i="12"/>
  <c r="F60" i="12" s="1"/>
  <c r="G60" i="12" s="1"/>
  <c r="D59" i="12"/>
  <c r="F59" i="12" s="1"/>
  <c r="G59" i="12" s="1"/>
  <c r="D58" i="12"/>
  <c r="F58" i="12" s="1"/>
  <c r="G58" i="12" s="1"/>
  <c r="D57" i="12"/>
  <c r="F57" i="12" s="1"/>
  <c r="G57" i="12" s="1"/>
  <c r="D56" i="12"/>
  <c r="F56" i="12" s="1"/>
  <c r="G56" i="12" s="1"/>
  <c r="D55" i="12"/>
  <c r="F55" i="12" s="1"/>
  <c r="G55" i="12" s="1"/>
  <c r="D54" i="12"/>
  <c r="E73" i="12"/>
  <c r="E72" i="12"/>
  <c r="F54" i="12" l="1"/>
  <c r="G54" i="12" s="1"/>
  <c r="G72" i="12" l="1"/>
  <c r="F70" i="12"/>
  <c r="F71" i="12"/>
  <c r="G71" i="12"/>
  <c r="G70" i="12"/>
  <c r="F72" i="12"/>
  <c r="G73" i="12"/>
  <c r="F73" i="12"/>
  <c r="F30" i="3" l="1"/>
  <c r="A28" i="8"/>
  <c r="D30" i="31"/>
  <c r="C30" i="31"/>
  <c r="B30" i="31"/>
  <c r="D29" i="31"/>
  <c r="C29" i="31"/>
  <c r="B29" i="31"/>
  <c r="D28" i="31"/>
  <c r="C28" i="31"/>
  <c r="B28" i="31"/>
  <c r="D27" i="31"/>
  <c r="C27" i="31"/>
  <c r="B27" i="31"/>
  <c r="D26" i="31"/>
  <c r="C26" i="31"/>
  <c r="B26" i="31"/>
  <c r="D25" i="31"/>
  <c r="C25" i="31"/>
  <c r="B25" i="31"/>
  <c r="D24" i="31"/>
  <c r="C24" i="31"/>
  <c r="B24" i="31"/>
  <c r="D23" i="31"/>
  <c r="C23" i="31"/>
  <c r="B23" i="31"/>
  <c r="D22" i="31"/>
  <c r="C22" i="31"/>
  <c r="B22" i="31"/>
  <c r="D21" i="31"/>
  <c r="F21" i="31" s="1"/>
  <c r="C21" i="31"/>
  <c r="B21" i="31"/>
  <c r="D20" i="31"/>
  <c r="C20" i="31"/>
  <c r="B20" i="31"/>
  <c r="D19" i="31"/>
  <c r="C19" i="31"/>
  <c r="B19" i="31"/>
  <c r="D18" i="31"/>
  <c r="C18" i="31"/>
  <c r="B18" i="31"/>
  <c r="D17" i="31"/>
  <c r="C17" i="31"/>
  <c r="B17" i="31"/>
  <c r="D16" i="31"/>
  <c r="C16" i="31"/>
  <c r="B16" i="31"/>
  <c r="F19" i="31" l="1"/>
  <c r="G19" i="31" s="1"/>
  <c r="I19" i="31"/>
  <c r="J19" i="31" s="1"/>
  <c r="F23" i="31"/>
  <c r="G23" i="31" s="1"/>
  <c r="I23" i="31"/>
  <c r="J23" i="31" s="1"/>
  <c r="F26" i="31"/>
  <c r="G26" i="31" s="1"/>
  <c r="I26" i="31"/>
  <c r="J26" i="31" s="1"/>
  <c r="F18" i="31"/>
  <c r="G18" i="31" s="1"/>
  <c r="I18" i="31"/>
  <c r="J18" i="31" s="1"/>
  <c r="F22" i="31"/>
  <c r="G22" i="31" s="1"/>
  <c r="I22" i="31"/>
  <c r="J22" i="31" s="1"/>
  <c r="F29" i="31"/>
  <c r="G29" i="31" s="1"/>
  <c r="I29" i="31"/>
  <c r="J29" i="31" s="1"/>
  <c r="F17" i="31"/>
  <c r="G17" i="31" s="1"/>
  <c r="I17" i="31"/>
  <c r="J17" i="31" s="1"/>
  <c r="G21" i="31"/>
  <c r="I21" i="31"/>
  <c r="J21" i="31" s="1"/>
  <c r="F25" i="31"/>
  <c r="G25" i="31" s="1"/>
  <c r="I25" i="31"/>
  <c r="J25" i="31" s="1"/>
  <c r="F28" i="31"/>
  <c r="G28" i="31" s="1"/>
  <c r="I28" i="31"/>
  <c r="J28" i="31" s="1"/>
  <c r="F30" i="31"/>
  <c r="G30" i="31" s="1"/>
  <c r="I30" i="31"/>
  <c r="J30" i="31" s="1"/>
  <c r="F16" i="31"/>
  <c r="G16" i="31" s="1"/>
  <c r="I16" i="31"/>
  <c r="J16" i="31" s="1"/>
  <c r="F20" i="31"/>
  <c r="G20" i="31" s="1"/>
  <c r="I20" i="31"/>
  <c r="J20" i="31" s="1"/>
  <c r="F24" i="31"/>
  <c r="G24" i="31" s="1"/>
  <c r="I24" i="31"/>
  <c r="J24" i="31" s="1"/>
  <c r="F27" i="31"/>
  <c r="G27" i="31" s="1"/>
  <c r="I27" i="31"/>
  <c r="J27" i="31" s="1"/>
  <c r="I33" i="31" l="1"/>
  <c r="I32" i="31"/>
  <c r="G35" i="31"/>
  <c r="F33" i="31"/>
  <c r="F32" i="31"/>
  <c r="J35" i="31"/>
  <c r="J34" i="31"/>
  <c r="F35" i="31"/>
  <c r="F34" i="31"/>
  <c r="I34" i="31"/>
  <c r="I35" i="31"/>
  <c r="C29" i="8"/>
  <c r="B29" i="8"/>
  <c r="A29" i="8"/>
  <c r="C28" i="8"/>
  <c r="B28" i="8"/>
  <c r="C27" i="8"/>
  <c r="B27" i="8"/>
  <c r="A27" i="8"/>
  <c r="C26" i="8"/>
  <c r="B26" i="8"/>
  <c r="A26" i="8"/>
  <c r="C25" i="8"/>
  <c r="B25" i="8"/>
  <c r="A25" i="8"/>
  <c r="C24" i="8"/>
  <c r="B24" i="8"/>
  <c r="A24" i="8"/>
  <c r="C23" i="8"/>
  <c r="B23" i="8"/>
  <c r="A23" i="8"/>
  <c r="C22" i="8"/>
  <c r="B22" i="8"/>
  <c r="A22" i="8"/>
  <c r="C21" i="8"/>
  <c r="B21" i="8"/>
  <c r="A21" i="8"/>
  <c r="C20" i="8"/>
  <c r="B20" i="8"/>
  <c r="A20" i="8"/>
  <c r="C19" i="8"/>
  <c r="B19" i="8"/>
  <c r="A19" i="8"/>
  <c r="C18" i="8"/>
  <c r="B18" i="8"/>
  <c r="A18" i="8"/>
  <c r="C17" i="8"/>
  <c r="B17" i="8"/>
  <c r="A17" i="8"/>
  <c r="C16" i="8"/>
  <c r="B16" i="8"/>
  <c r="A16" i="8"/>
  <c r="C15" i="8"/>
  <c r="B15" i="8"/>
  <c r="A15" i="8"/>
  <c r="C30" i="27"/>
  <c r="B30" i="27"/>
  <c r="A30" i="27"/>
  <c r="C29" i="27"/>
  <c r="B29" i="27"/>
  <c r="A29" i="27"/>
  <c r="C28" i="27"/>
  <c r="B28" i="27"/>
  <c r="A28" i="27"/>
  <c r="C27" i="27"/>
  <c r="B27" i="27"/>
  <c r="A27" i="27"/>
  <c r="C26" i="27"/>
  <c r="B26" i="27"/>
  <c r="A26" i="27"/>
  <c r="C25" i="27"/>
  <c r="B25" i="27"/>
  <c r="A25" i="27"/>
  <c r="C24" i="27"/>
  <c r="B24" i="27"/>
  <c r="A24" i="27"/>
  <c r="C23" i="27"/>
  <c r="B23" i="27"/>
  <c r="A23" i="27"/>
  <c r="C22" i="27"/>
  <c r="B22" i="27"/>
  <c r="A22" i="27"/>
  <c r="C21" i="27"/>
  <c r="B21" i="27"/>
  <c r="A21" i="27"/>
  <c r="C20" i="27"/>
  <c r="B20" i="27"/>
  <c r="A20" i="27"/>
  <c r="C19" i="27"/>
  <c r="B19" i="27"/>
  <c r="A19" i="27"/>
  <c r="C18" i="27"/>
  <c r="B18" i="27"/>
  <c r="A18" i="27"/>
  <c r="C17" i="27"/>
  <c r="B17" i="27"/>
  <c r="A17" i="27"/>
  <c r="C16" i="27"/>
  <c r="B16" i="27"/>
  <c r="A16" i="27"/>
  <c r="C30" i="17"/>
  <c r="B30" i="17"/>
  <c r="A30" i="17"/>
  <c r="C29" i="17"/>
  <c r="B29" i="17"/>
  <c r="A29" i="17"/>
  <c r="C28" i="17"/>
  <c r="B28" i="17"/>
  <c r="A28" i="17"/>
  <c r="C27" i="17"/>
  <c r="B27" i="17"/>
  <c r="A27" i="17"/>
  <c r="C26" i="17"/>
  <c r="B26" i="17"/>
  <c r="A26" i="17"/>
  <c r="C25" i="17"/>
  <c r="B25" i="17"/>
  <c r="A25" i="17"/>
  <c r="C24" i="17"/>
  <c r="B24" i="17"/>
  <c r="A24" i="17"/>
  <c r="C23" i="17"/>
  <c r="B23" i="17"/>
  <c r="A23" i="17"/>
  <c r="C22" i="17"/>
  <c r="B22" i="17"/>
  <c r="A22" i="17"/>
  <c r="C21" i="17"/>
  <c r="B21" i="17"/>
  <c r="A21" i="17"/>
  <c r="C20" i="17"/>
  <c r="B20" i="17"/>
  <c r="A20" i="17"/>
  <c r="C19" i="17"/>
  <c r="B19" i="17"/>
  <c r="A19" i="17"/>
  <c r="C18" i="17"/>
  <c r="B18" i="17"/>
  <c r="A18" i="17"/>
  <c r="C17" i="17"/>
  <c r="B17" i="17"/>
  <c r="A17" i="17"/>
  <c r="C16" i="17"/>
  <c r="B16" i="17"/>
  <c r="A16" i="17"/>
  <c r="C32" i="14"/>
  <c r="B32" i="14"/>
  <c r="A32" i="14"/>
  <c r="C31" i="14"/>
  <c r="B31" i="14"/>
  <c r="A31" i="14"/>
  <c r="C30" i="14"/>
  <c r="B30" i="14"/>
  <c r="A30" i="14"/>
  <c r="C29" i="14"/>
  <c r="B29" i="14"/>
  <c r="A29" i="14"/>
  <c r="C28" i="14"/>
  <c r="B28" i="14"/>
  <c r="A28" i="14"/>
  <c r="C27" i="14"/>
  <c r="B27" i="14"/>
  <c r="A27" i="14"/>
  <c r="B26" i="14"/>
  <c r="A26" i="14"/>
  <c r="C25" i="14"/>
  <c r="B25" i="14"/>
  <c r="C24" i="14"/>
  <c r="B24" i="14"/>
  <c r="A24" i="14"/>
  <c r="C23" i="14"/>
  <c r="B23" i="14"/>
  <c r="A23" i="14"/>
  <c r="C22" i="14"/>
  <c r="B22" i="14"/>
  <c r="A22" i="14"/>
  <c r="C21" i="14"/>
  <c r="B21" i="14"/>
  <c r="A21" i="14"/>
  <c r="C20" i="14"/>
  <c r="B20" i="14"/>
  <c r="A20" i="14"/>
  <c r="C19" i="14"/>
  <c r="B19" i="14"/>
  <c r="A19" i="14"/>
  <c r="C18" i="14"/>
  <c r="B18" i="14"/>
  <c r="A18" i="14"/>
  <c r="B34" i="11"/>
  <c r="A34" i="11"/>
  <c r="B33" i="11"/>
  <c r="A33" i="11"/>
  <c r="B32" i="11"/>
  <c r="A32" i="11"/>
  <c r="B31" i="11"/>
  <c r="A31" i="11"/>
  <c r="B30" i="11"/>
  <c r="A30" i="11"/>
  <c r="B29" i="11"/>
  <c r="A29" i="11"/>
  <c r="B28" i="11"/>
  <c r="A28" i="11"/>
  <c r="B27" i="11"/>
  <c r="A27" i="11"/>
  <c r="B26" i="11"/>
  <c r="A26" i="11"/>
  <c r="B25" i="11"/>
  <c r="A25" i="11"/>
  <c r="B24" i="11"/>
  <c r="A24" i="11"/>
  <c r="B23" i="11"/>
  <c r="A23" i="11"/>
  <c r="B22" i="11"/>
  <c r="A22" i="11"/>
  <c r="B21" i="11"/>
  <c r="A21" i="11"/>
  <c r="B20" i="11"/>
  <c r="A20" i="11"/>
  <c r="C36" i="29"/>
  <c r="B36" i="29"/>
  <c r="A36" i="29"/>
  <c r="C35" i="29"/>
  <c r="B35" i="29"/>
  <c r="A35" i="29"/>
  <c r="C34" i="29"/>
  <c r="B34" i="29"/>
  <c r="A34" i="29"/>
  <c r="C33" i="29"/>
  <c r="B33" i="29"/>
  <c r="A33" i="29"/>
  <c r="C32" i="29"/>
  <c r="B32" i="29"/>
  <c r="A32" i="29"/>
  <c r="C31" i="29"/>
  <c r="B31" i="29"/>
  <c r="A31" i="29"/>
  <c r="C30" i="29"/>
  <c r="B30" i="29"/>
  <c r="A30" i="29"/>
  <c r="C29" i="29"/>
  <c r="B29" i="29"/>
  <c r="A29" i="29"/>
  <c r="C28" i="29"/>
  <c r="B28" i="29"/>
  <c r="A28" i="29"/>
  <c r="C27" i="29"/>
  <c r="B27" i="29"/>
  <c r="A27" i="29"/>
  <c r="C26" i="29"/>
  <c r="B26" i="29"/>
  <c r="A26" i="29"/>
  <c r="C25" i="29"/>
  <c r="B25" i="29"/>
  <c r="A25" i="29"/>
  <c r="C24" i="29"/>
  <c r="B24" i="29"/>
  <c r="A24" i="29"/>
  <c r="C23" i="29"/>
  <c r="B23" i="29"/>
  <c r="A23" i="29"/>
  <c r="C22" i="29"/>
  <c r="B22" i="29"/>
  <c r="A22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H31" i="5"/>
  <c r="H30" i="5"/>
  <c r="H29" i="5"/>
  <c r="H28" i="5"/>
  <c r="H27" i="5"/>
  <c r="H26" i="5"/>
  <c r="H24" i="5"/>
  <c r="H25" i="5"/>
  <c r="H23" i="5"/>
  <c r="H22" i="5"/>
  <c r="H21" i="5"/>
  <c r="H20" i="5"/>
  <c r="H19" i="5"/>
  <c r="H18" i="5"/>
  <c r="H17" i="5"/>
  <c r="G64" i="10"/>
  <c r="K16" i="17"/>
  <c r="F56" i="29"/>
  <c r="B71" i="29"/>
  <c r="I35" i="27"/>
  <c r="G35" i="27"/>
  <c r="E35" i="27"/>
  <c r="I34" i="27"/>
  <c r="G34" i="27"/>
  <c r="E34" i="27"/>
  <c r="K30" i="27"/>
  <c r="D30" i="27"/>
  <c r="J30" i="27" s="1"/>
  <c r="D29" i="27"/>
  <c r="H29" i="27" s="1"/>
  <c r="K28" i="27"/>
  <c r="D28" i="27"/>
  <c r="F28" i="27" s="1"/>
  <c r="D27" i="27"/>
  <c r="F27" i="27" s="1"/>
  <c r="K26" i="27"/>
  <c r="D26" i="27"/>
  <c r="J26" i="27" s="1"/>
  <c r="K25" i="27"/>
  <c r="D25" i="27"/>
  <c r="F25" i="27" s="1"/>
  <c r="K24" i="27"/>
  <c r="D24" i="27"/>
  <c r="H24" i="27" s="1"/>
  <c r="K23" i="27"/>
  <c r="D23" i="27"/>
  <c r="J23" i="27" s="1"/>
  <c r="K22" i="27"/>
  <c r="D22" i="27"/>
  <c r="K21" i="27"/>
  <c r="D21" i="27"/>
  <c r="K20" i="27"/>
  <c r="D20" i="27"/>
  <c r="H20" i="27" s="1"/>
  <c r="K19" i="27"/>
  <c r="D19" i="27"/>
  <c r="J19" i="27" s="1"/>
  <c r="K18" i="27"/>
  <c r="D18" i="27"/>
  <c r="H18" i="27" s="1"/>
  <c r="K17" i="27"/>
  <c r="D17" i="27"/>
  <c r="F17" i="27" s="1"/>
  <c r="K16" i="27"/>
  <c r="D16" i="2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G34" i="31" l="1"/>
  <c r="H16" i="27"/>
  <c r="F16" i="27"/>
  <c r="F21" i="27"/>
  <c r="H21" i="27"/>
  <c r="H22" i="27"/>
  <c r="J22" i="27"/>
  <c r="K33" i="27"/>
  <c r="K32" i="27"/>
  <c r="K33" i="17"/>
  <c r="K32" i="17"/>
  <c r="G33" i="31"/>
  <c r="G32" i="31"/>
  <c r="J33" i="31"/>
  <c r="J32" i="31"/>
  <c r="G32" i="20"/>
  <c r="G30" i="20"/>
  <c r="G26" i="20"/>
  <c r="G22" i="20"/>
  <c r="G28" i="20"/>
  <c r="G24" i="20"/>
  <c r="G31" i="20"/>
  <c r="G35" i="20"/>
  <c r="G23" i="20"/>
  <c r="G33" i="20"/>
  <c r="G29" i="20"/>
  <c r="G25" i="20"/>
  <c r="G21" i="20"/>
  <c r="G34" i="20"/>
  <c r="G27" i="20"/>
  <c r="J16" i="27"/>
  <c r="F20" i="27"/>
  <c r="J20" i="27"/>
  <c r="D48" i="10"/>
  <c r="J27" i="27"/>
  <c r="H19" i="27"/>
  <c r="H26" i="27"/>
  <c r="H27" i="27"/>
  <c r="F29" i="27"/>
  <c r="H30" i="27"/>
  <c r="F18" i="27"/>
  <c r="F24" i="27"/>
  <c r="J18" i="27"/>
  <c r="F22" i="27"/>
  <c r="H23" i="27"/>
  <c r="J24" i="27"/>
  <c r="J29" i="27"/>
  <c r="K35" i="27"/>
  <c r="G16" i="40" s="1"/>
  <c r="H17" i="27"/>
  <c r="H25" i="27"/>
  <c r="H28" i="27"/>
  <c r="K34" i="27"/>
  <c r="G15" i="40" s="1"/>
  <c r="J17" i="27"/>
  <c r="F19" i="27"/>
  <c r="J21" i="27"/>
  <c r="F23" i="27"/>
  <c r="J25" i="27"/>
  <c r="F26" i="27"/>
  <c r="J28" i="27"/>
  <c r="F30" i="27"/>
  <c r="K34" i="17"/>
  <c r="F15" i="40" s="1"/>
  <c r="K35" i="17"/>
  <c r="F16" i="40" s="1"/>
  <c r="J33" i="27" l="1"/>
  <c r="J32" i="27"/>
  <c r="H33" i="27"/>
  <c r="H32" i="27"/>
  <c r="F33" i="27"/>
  <c r="F32" i="27"/>
  <c r="J35" i="27"/>
  <c r="J34" i="27"/>
  <c r="F35" i="27"/>
  <c r="F34" i="27"/>
  <c r="H35" i="27"/>
  <c r="H34" i="27"/>
  <c r="I35" i="17" l="1"/>
  <c r="I34" i="17"/>
  <c r="I24" i="12" l="1"/>
  <c r="C25" i="5"/>
  <c r="I25" i="5" s="1"/>
  <c r="L25" i="5" s="1"/>
  <c r="M25" i="5" s="1"/>
  <c r="D24" i="17"/>
  <c r="D30" i="29"/>
  <c r="F30" i="29" s="1"/>
  <c r="E54" i="3"/>
  <c r="H54" i="3" s="1"/>
  <c r="J54" i="3" s="1"/>
  <c r="F28" i="11"/>
  <c r="H28" i="11" s="1"/>
  <c r="D24" i="12"/>
  <c r="F24" i="12" s="1"/>
  <c r="G24" i="12" s="1"/>
  <c r="A54" i="3"/>
  <c r="H24" i="17" l="1"/>
  <c r="F24" i="17"/>
  <c r="E25" i="5"/>
  <c r="F25" i="5" s="1"/>
  <c r="J24" i="17"/>
  <c r="J24" i="12"/>
  <c r="L24" i="12" s="1"/>
  <c r="M24" i="12" s="1"/>
  <c r="J28" i="11"/>
  <c r="I28" i="11"/>
  <c r="F25" i="19" l="1"/>
  <c r="I54" i="3"/>
  <c r="K28" i="11"/>
  <c r="L28" i="11" s="1"/>
  <c r="J25" i="19" l="1"/>
  <c r="D29" i="20"/>
  <c r="H29" i="20" s="1"/>
  <c r="I25" i="19"/>
  <c r="H35" i="19"/>
  <c r="G35" i="19"/>
  <c r="H34" i="19"/>
  <c r="G34" i="19"/>
  <c r="G35" i="17"/>
  <c r="G34" i="17"/>
  <c r="D30" i="17"/>
  <c r="J30" i="17" s="1"/>
  <c r="D29" i="17"/>
  <c r="J29" i="17" s="1"/>
  <c r="D28" i="17"/>
  <c r="J28" i="17" s="1"/>
  <c r="D27" i="17"/>
  <c r="J27" i="17" s="1"/>
  <c r="D26" i="17"/>
  <c r="J26" i="17" s="1"/>
  <c r="D25" i="17"/>
  <c r="D23" i="17"/>
  <c r="D22" i="17"/>
  <c r="J22" i="17" s="1"/>
  <c r="D21" i="17"/>
  <c r="J21" i="17" s="1"/>
  <c r="D20" i="17"/>
  <c r="J20" i="17" s="1"/>
  <c r="D19" i="17"/>
  <c r="D18" i="17"/>
  <c r="J18" i="17" s="1"/>
  <c r="D17" i="17"/>
  <c r="J17" i="17" s="1"/>
  <c r="D16" i="17"/>
  <c r="E35" i="17"/>
  <c r="E34" i="17"/>
  <c r="I34" i="8"/>
  <c r="I33" i="8"/>
  <c r="F34" i="11"/>
  <c r="H34" i="11" s="1"/>
  <c r="F33" i="11"/>
  <c r="H33" i="11" s="1"/>
  <c r="F32" i="11"/>
  <c r="H32" i="11" s="1"/>
  <c r="F31" i="11"/>
  <c r="H31" i="11" s="1"/>
  <c r="F30" i="11"/>
  <c r="H30" i="11" s="1"/>
  <c r="F29" i="11"/>
  <c r="H29" i="11" s="1"/>
  <c r="F27" i="11"/>
  <c r="H27" i="11" s="1"/>
  <c r="F26" i="11"/>
  <c r="H26" i="11" s="1"/>
  <c r="F25" i="11"/>
  <c r="H25" i="11" s="1"/>
  <c r="F24" i="11"/>
  <c r="H24" i="11" s="1"/>
  <c r="F23" i="11"/>
  <c r="H23" i="11" s="1"/>
  <c r="H22" i="11"/>
  <c r="F21" i="11"/>
  <c r="H21" i="11" s="1"/>
  <c r="F20" i="11"/>
  <c r="H20" i="11" s="1"/>
  <c r="E29" i="8"/>
  <c r="E28" i="8"/>
  <c r="E27" i="8"/>
  <c r="E26" i="8"/>
  <c r="E25" i="8"/>
  <c r="E24" i="8"/>
  <c r="E22" i="8"/>
  <c r="E21" i="8"/>
  <c r="E20" i="8"/>
  <c r="E19" i="8"/>
  <c r="E18" i="8"/>
  <c r="E17" i="8"/>
  <c r="E16" i="8"/>
  <c r="E15" i="8"/>
  <c r="C31" i="5"/>
  <c r="I31" i="5" s="1"/>
  <c r="L31" i="5" s="1"/>
  <c r="C30" i="5"/>
  <c r="I30" i="5" s="1"/>
  <c r="L30" i="5" s="1"/>
  <c r="C29" i="5"/>
  <c r="I29" i="5" s="1"/>
  <c r="L29" i="5" s="1"/>
  <c r="C28" i="5"/>
  <c r="I28" i="5" s="1"/>
  <c r="L28" i="5" s="1"/>
  <c r="C27" i="5"/>
  <c r="I27" i="5" s="1"/>
  <c r="L27" i="5" s="1"/>
  <c r="C26" i="5"/>
  <c r="I26" i="5" s="1"/>
  <c r="L26" i="5" s="1"/>
  <c r="C24" i="5"/>
  <c r="I24" i="5" s="1"/>
  <c r="L24" i="5" s="1"/>
  <c r="C23" i="5"/>
  <c r="I23" i="5" s="1"/>
  <c r="L23" i="5" s="1"/>
  <c r="C22" i="5"/>
  <c r="I22" i="5" s="1"/>
  <c r="L22" i="5" s="1"/>
  <c r="C21" i="5"/>
  <c r="I21" i="5" s="1"/>
  <c r="L21" i="5" s="1"/>
  <c r="C20" i="5"/>
  <c r="I20" i="5" s="1"/>
  <c r="L20" i="5" s="1"/>
  <c r="C19" i="5"/>
  <c r="I19" i="5" s="1"/>
  <c r="L19" i="5" s="1"/>
  <c r="C18" i="5"/>
  <c r="I18" i="5" s="1"/>
  <c r="L18" i="5" s="1"/>
  <c r="C17" i="5"/>
  <c r="J41" i="12"/>
  <c r="D23" i="10" s="1"/>
  <c r="I41" i="12"/>
  <c r="H40" i="5"/>
  <c r="D56" i="10" s="1"/>
  <c r="K35" i="12"/>
  <c r="E35" i="12"/>
  <c r="K34" i="12"/>
  <c r="E34" i="12"/>
  <c r="J30" i="12"/>
  <c r="D29" i="12"/>
  <c r="J29" i="12" s="1"/>
  <c r="D28" i="12"/>
  <c r="J28" i="12" s="1"/>
  <c r="D27" i="12"/>
  <c r="D26" i="12"/>
  <c r="F26" i="12" s="1"/>
  <c r="G26" i="12" s="1"/>
  <c r="D25" i="12"/>
  <c r="J25" i="12" s="1"/>
  <c r="D23" i="12"/>
  <c r="D22" i="12"/>
  <c r="F22" i="12" s="1"/>
  <c r="G22" i="12" s="1"/>
  <c r="D21" i="12"/>
  <c r="F21" i="12" s="1"/>
  <c r="G21" i="12" s="1"/>
  <c r="D20" i="12"/>
  <c r="J20" i="12" s="1"/>
  <c r="D19" i="12"/>
  <c r="D18" i="12"/>
  <c r="F18" i="12" s="1"/>
  <c r="G18" i="12" s="1"/>
  <c r="D17" i="12"/>
  <c r="F17" i="12" s="1"/>
  <c r="G17" i="12" s="1"/>
  <c r="D16" i="12"/>
  <c r="J16" i="12" s="1"/>
  <c r="I17" i="5" l="1"/>
  <c r="L17" i="5" s="1"/>
  <c r="J25" i="17"/>
  <c r="H25" i="17"/>
  <c r="F25" i="17"/>
  <c r="J23" i="17"/>
  <c r="H23" i="17"/>
  <c r="F23" i="17"/>
  <c r="J19" i="17"/>
  <c r="F19" i="17"/>
  <c r="J16" i="17"/>
  <c r="J33" i="17" s="1"/>
  <c r="F16" i="17"/>
  <c r="J32" i="17"/>
  <c r="J35" i="17"/>
  <c r="J34" i="17"/>
  <c r="J17" i="12"/>
  <c r="L20" i="12"/>
  <c r="M20" i="12" s="1"/>
  <c r="L25" i="12"/>
  <c r="M25" i="12" s="1"/>
  <c r="L28" i="12"/>
  <c r="M28" i="12" s="1"/>
  <c r="L29" i="12"/>
  <c r="M29" i="12" s="1"/>
  <c r="H16" i="17"/>
  <c r="H28" i="17"/>
  <c r="F28" i="17"/>
  <c r="H18" i="17"/>
  <c r="F18" i="17"/>
  <c r="H22" i="17"/>
  <c r="F22" i="17"/>
  <c r="H26" i="17"/>
  <c r="F26" i="17"/>
  <c r="H30" i="17"/>
  <c r="F30" i="17"/>
  <c r="J21" i="12"/>
  <c r="H20" i="17"/>
  <c r="F20" i="17"/>
  <c r="H17" i="17"/>
  <c r="F17" i="17"/>
  <c r="H21" i="17"/>
  <c r="F21" i="17"/>
  <c r="H29" i="17"/>
  <c r="F29" i="17"/>
  <c r="L30" i="12"/>
  <c r="M30" i="12" s="1"/>
  <c r="H19" i="17"/>
  <c r="H27" i="17"/>
  <c r="F27" i="17"/>
  <c r="J18" i="12"/>
  <c r="J22" i="12"/>
  <c r="J26" i="12"/>
  <c r="L16" i="12"/>
  <c r="M16" i="12" s="1"/>
  <c r="J19" i="12"/>
  <c r="J23" i="12"/>
  <c r="J27" i="12"/>
  <c r="F23" i="12"/>
  <c r="G23" i="12" s="1"/>
  <c r="F19" i="12"/>
  <c r="G19" i="12" s="1"/>
  <c r="F27" i="12"/>
  <c r="G27" i="12" s="1"/>
  <c r="F30" i="12"/>
  <c r="G30" i="12" s="1"/>
  <c r="F20" i="12"/>
  <c r="G20" i="12" s="1"/>
  <c r="F29" i="12"/>
  <c r="G29" i="12" s="1"/>
  <c r="F16" i="12"/>
  <c r="G16" i="12" s="1"/>
  <c r="F25" i="12"/>
  <c r="G25" i="12" s="1"/>
  <c r="F28" i="12"/>
  <c r="G28" i="12" s="1"/>
  <c r="L34" i="5" l="1"/>
  <c r="L33" i="5"/>
  <c r="F32" i="17"/>
  <c r="F33" i="17"/>
  <c r="F33" i="12"/>
  <c r="F32" i="12"/>
  <c r="H32" i="17"/>
  <c r="H33" i="17"/>
  <c r="F26" i="19"/>
  <c r="F18" i="19"/>
  <c r="I18" i="19" s="1"/>
  <c r="F19" i="19"/>
  <c r="D23" i="20" s="1"/>
  <c r="H23" i="20" s="1"/>
  <c r="F20" i="19"/>
  <c r="F21" i="19"/>
  <c r="F22" i="19"/>
  <c r="D26" i="20" s="1"/>
  <c r="H26" i="20" s="1"/>
  <c r="F23" i="19"/>
  <c r="I23" i="19" s="1"/>
  <c r="F24" i="19"/>
  <c r="F27" i="19"/>
  <c r="F28" i="19"/>
  <c r="F30" i="19"/>
  <c r="J30" i="19" s="1"/>
  <c r="F31" i="19"/>
  <c r="D35" i="20" s="1"/>
  <c r="H35" i="20" s="1"/>
  <c r="F29" i="19"/>
  <c r="D33" i="20" s="1"/>
  <c r="H33" i="20" s="1"/>
  <c r="F17" i="19"/>
  <c r="L17" i="12"/>
  <c r="M17" i="12" s="1"/>
  <c r="L27" i="12"/>
  <c r="M27" i="12" s="1"/>
  <c r="L26" i="12"/>
  <c r="M26" i="12" s="1"/>
  <c r="L23" i="12"/>
  <c r="M23" i="12" s="1"/>
  <c r="L22" i="12"/>
  <c r="M22" i="12" s="1"/>
  <c r="F34" i="17"/>
  <c r="F35" i="17"/>
  <c r="L21" i="12"/>
  <c r="M21" i="12" s="1"/>
  <c r="L19" i="12"/>
  <c r="M19" i="12" s="1"/>
  <c r="L18" i="12"/>
  <c r="M18" i="12" s="1"/>
  <c r="H34" i="17"/>
  <c r="H35" i="17"/>
  <c r="G34" i="12"/>
  <c r="F35" i="12"/>
  <c r="F34" i="12"/>
  <c r="G35" i="12"/>
  <c r="F32" i="19" l="1"/>
  <c r="F33" i="19"/>
  <c r="L32" i="12"/>
  <c r="J19" i="19"/>
  <c r="I19" i="19"/>
  <c r="G33" i="12"/>
  <c r="G32" i="12"/>
  <c r="M33" i="12"/>
  <c r="M32" i="12"/>
  <c r="L33" i="12"/>
  <c r="J22" i="19"/>
  <c r="I31" i="19"/>
  <c r="J31" i="19"/>
  <c r="I30" i="19"/>
  <c r="D34" i="20"/>
  <c r="H34" i="20" s="1"/>
  <c r="J27" i="19"/>
  <c r="D31" i="20"/>
  <c r="H31" i="20" s="1"/>
  <c r="J23" i="19"/>
  <c r="D27" i="20"/>
  <c r="H27" i="20" s="1"/>
  <c r="J21" i="19"/>
  <c r="D25" i="20"/>
  <c r="H25" i="20" s="1"/>
  <c r="J26" i="19"/>
  <c r="D30" i="20"/>
  <c r="H30" i="20" s="1"/>
  <c r="J17" i="19"/>
  <c r="D21" i="20"/>
  <c r="H21" i="20" s="1"/>
  <c r="I28" i="19"/>
  <c r="D32" i="20"/>
  <c r="H32" i="20" s="1"/>
  <c r="J24" i="19"/>
  <c r="D28" i="20"/>
  <c r="H28" i="20" s="1"/>
  <c r="J20" i="19"/>
  <c r="D24" i="20"/>
  <c r="H24" i="20" s="1"/>
  <c r="J18" i="19"/>
  <c r="D22" i="20"/>
  <c r="H22" i="20" s="1"/>
  <c r="I22" i="19"/>
  <c r="J28" i="19"/>
  <c r="I20" i="19"/>
  <c r="I24" i="19"/>
  <c r="I26" i="19"/>
  <c r="I21" i="19"/>
  <c r="I27" i="19"/>
  <c r="I17" i="19"/>
  <c r="J29" i="19"/>
  <c r="I29" i="19"/>
  <c r="L35" i="12"/>
  <c r="L34" i="12"/>
  <c r="F35" i="19"/>
  <c r="F34" i="19"/>
  <c r="M35" i="12"/>
  <c r="M34" i="12"/>
  <c r="H39" i="20" l="1"/>
  <c r="I33" i="19"/>
  <c r="I32" i="19"/>
  <c r="J33" i="19"/>
  <c r="J32" i="19"/>
  <c r="H37" i="20"/>
  <c r="H36" i="20"/>
  <c r="H38" i="20"/>
  <c r="J35" i="19"/>
  <c r="J34" i="19"/>
  <c r="I35" i="19"/>
  <c r="I34" i="19"/>
  <c r="J36" i="5"/>
  <c r="J35" i="5"/>
  <c r="J34" i="11"/>
  <c r="J33" i="11"/>
  <c r="J32" i="11"/>
  <c r="J31" i="11"/>
  <c r="J30" i="11"/>
  <c r="J29" i="11"/>
  <c r="J27" i="11"/>
  <c r="J26" i="11"/>
  <c r="J25" i="11"/>
  <c r="J24" i="11"/>
  <c r="J23" i="11"/>
  <c r="J22" i="11"/>
  <c r="J21" i="11"/>
  <c r="J20" i="11"/>
  <c r="I34" i="11"/>
  <c r="I33" i="11"/>
  <c r="I32" i="11"/>
  <c r="I31" i="11"/>
  <c r="I30" i="11"/>
  <c r="I29" i="11"/>
  <c r="I27" i="11"/>
  <c r="I26" i="11"/>
  <c r="I25" i="11"/>
  <c r="I24" i="11"/>
  <c r="I23" i="11"/>
  <c r="I22" i="11"/>
  <c r="I21" i="11"/>
  <c r="I20" i="11"/>
  <c r="F56" i="10"/>
  <c r="C58" i="10"/>
  <c r="C56" i="10"/>
  <c r="F58" i="10"/>
  <c r="F25" i="10"/>
  <c r="C25" i="10"/>
  <c r="F23" i="10"/>
  <c r="C23" i="10"/>
  <c r="E59" i="3"/>
  <c r="K22" i="11" l="1"/>
  <c r="L22" i="11" s="1"/>
  <c r="K30" i="11"/>
  <c r="L30" i="11" s="1"/>
  <c r="K21" i="11"/>
  <c r="L21" i="11" s="1"/>
  <c r="K20" i="11"/>
  <c r="L20" i="11" s="1"/>
  <c r="K33" i="11"/>
  <c r="L33" i="11" s="1"/>
  <c r="K27" i="11"/>
  <c r="L27" i="11" s="1"/>
  <c r="K26" i="11"/>
  <c r="L26" i="11" s="1"/>
  <c r="K25" i="11"/>
  <c r="L25" i="11" s="1"/>
  <c r="K24" i="11"/>
  <c r="L24" i="11" s="1"/>
  <c r="K23" i="11"/>
  <c r="L23" i="11" s="1"/>
  <c r="K34" i="11"/>
  <c r="L34" i="11" s="1"/>
  <c r="K32" i="11"/>
  <c r="L32" i="11" s="1"/>
  <c r="K31" i="11"/>
  <c r="L31" i="11" s="1"/>
  <c r="K29" i="11"/>
  <c r="L29" i="11" s="1"/>
  <c r="G25" i="10"/>
  <c r="C27" i="10"/>
  <c r="C60" i="10"/>
  <c r="G23" i="10"/>
  <c r="G56" i="10"/>
  <c r="G58" i="10"/>
  <c r="E61" i="29"/>
  <c r="E60" i="29"/>
  <c r="E59" i="29"/>
  <c r="E57" i="29"/>
  <c r="D53" i="3"/>
  <c r="E54" i="29"/>
  <c r="E53" i="29"/>
  <c r="E52" i="29"/>
  <c r="E51" i="29"/>
  <c r="E50" i="29"/>
  <c r="E49" i="29"/>
  <c r="E48" i="29"/>
  <c r="L37" i="11" l="1"/>
  <c r="L36" i="11"/>
  <c r="E24" i="19"/>
  <c r="D58" i="29"/>
  <c r="F58" i="29" s="1"/>
  <c r="D62" i="29"/>
  <c r="E62" i="29"/>
  <c r="E55" i="29"/>
  <c r="F55" i="29" s="1"/>
  <c r="D54" i="29"/>
  <c r="D49" i="29"/>
  <c r="D52" i="29"/>
  <c r="D50" i="29"/>
  <c r="D57" i="29"/>
  <c r="D60" i="29"/>
  <c r="D48" i="29"/>
  <c r="D51" i="29"/>
  <c r="D53" i="29"/>
  <c r="L38" i="11"/>
  <c r="L39" i="11"/>
  <c r="G27" i="10"/>
  <c r="G60" i="10"/>
  <c r="M17" i="5"/>
  <c r="M18" i="5"/>
  <c r="M19" i="5"/>
  <c r="M20" i="5"/>
  <c r="M21" i="5"/>
  <c r="M22" i="5"/>
  <c r="M23" i="5"/>
  <c r="M24" i="5"/>
  <c r="M26" i="5"/>
  <c r="M27" i="5"/>
  <c r="M28" i="5"/>
  <c r="M29" i="5"/>
  <c r="M30" i="5"/>
  <c r="M31" i="5"/>
  <c r="D59" i="29" l="1"/>
  <c r="F59" i="29" s="1"/>
  <c r="F62" i="29"/>
  <c r="D61" i="29"/>
  <c r="F61" i="29" s="1"/>
  <c r="F51" i="29"/>
  <c r="F60" i="29"/>
  <c r="F50" i="29"/>
  <c r="F52" i="29"/>
  <c r="F54" i="29"/>
  <c r="F53" i="29"/>
  <c r="F48" i="29"/>
  <c r="F57" i="29"/>
  <c r="F49" i="29"/>
  <c r="L35" i="5"/>
  <c r="L36" i="5"/>
  <c r="D59" i="3"/>
  <c r="E30" i="19" l="1"/>
  <c r="H59" i="3"/>
  <c r="J59" i="3" s="1"/>
  <c r="M34" i="5"/>
  <c r="M33" i="5"/>
  <c r="F63" i="29"/>
  <c r="D71" i="29" s="1"/>
  <c r="M36" i="5"/>
  <c r="M35" i="5"/>
  <c r="E49" i="3"/>
  <c r="F33" i="3" l="1"/>
  <c r="E47" i="3" l="1"/>
  <c r="A60" i="3" l="1"/>
  <c r="A59" i="3"/>
  <c r="A58" i="3"/>
  <c r="A57" i="3"/>
  <c r="A56" i="3"/>
  <c r="A55" i="3"/>
  <c r="A53" i="3"/>
  <c r="A52" i="3"/>
  <c r="A51" i="3"/>
  <c r="A50" i="3"/>
  <c r="A49" i="3"/>
  <c r="A48" i="3"/>
  <c r="A47" i="3"/>
  <c r="A46" i="3"/>
  <c r="D36" i="29"/>
  <c r="F36" i="29" s="1"/>
  <c r="D35" i="29"/>
  <c r="F35" i="29" s="1"/>
  <c r="D34" i="29"/>
  <c r="F34" i="29" s="1"/>
  <c r="D33" i="29"/>
  <c r="F33" i="29" s="1"/>
  <c r="D32" i="29"/>
  <c r="F32" i="29" s="1"/>
  <c r="D31" i="29"/>
  <c r="F31" i="29" s="1"/>
  <c r="D29" i="29"/>
  <c r="F29" i="29" s="1"/>
  <c r="D28" i="29"/>
  <c r="F28" i="29" s="1"/>
  <c r="D51" i="3"/>
  <c r="D50" i="3"/>
  <c r="D49" i="3"/>
  <c r="H49" i="3" s="1"/>
  <c r="J49" i="3" s="1"/>
  <c r="D48" i="3"/>
  <c r="D47" i="3"/>
  <c r="H47" i="3" s="1"/>
  <c r="J47" i="3" s="1"/>
  <c r="D46" i="3"/>
  <c r="D27" i="29" l="1"/>
  <c r="F27" i="29" s="1"/>
  <c r="E22" i="19"/>
  <c r="D26" i="29"/>
  <c r="F26" i="29" s="1"/>
  <c r="E21" i="19"/>
  <c r="D23" i="29"/>
  <c r="F23" i="29" s="1"/>
  <c r="E18" i="19"/>
  <c r="D24" i="29"/>
  <c r="F24" i="29" s="1"/>
  <c r="E19" i="19"/>
  <c r="D25" i="29"/>
  <c r="F25" i="29" s="1"/>
  <c r="E20" i="19"/>
  <c r="D22" i="29"/>
  <c r="F22" i="29" s="1"/>
  <c r="E17" i="19"/>
  <c r="F35" i="3"/>
  <c r="I60" i="3" l="1"/>
  <c r="F22" i="3" l="1"/>
  <c r="F23" i="3"/>
  <c r="F24" i="3"/>
  <c r="F25" i="3"/>
  <c r="F26" i="3"/>
  <c r="F27" i="3"/>
  <c r="F28" i="3"/>
  <c r="F29" i="3"/>
  <c r="F31" i="3"/>
  <c r="F32" i="3"/>
  <c r="F34" i="3"/>
  <c r="F36" i="3"/>
  <c r="C23" i="7" l="1"/>
  <c r="C70" i="29" s="1"/>
  <c r="C25" i="7"/>
  <c r="C71" i="29" s="1"/>
  <c r="E71" i="29" s="1"/>
  <c r="D25" i="7" l="1"/>
  <c r="J33" i="8" l="1"/>
  <c r="J34" i="8" l="1"/>
  <c r="E58" i="3" l="1"/>
  <c r="H58" i="3" s="1"/>
  <c r="J58" i="3" s="1"/>
  <c r="E57" i="3"/>
  <c r="H57" i="3" s="1"/>
  <c r="E56" i="3"/>
  <c r="H56" i="3" s="1"/>
  <c r="J56" i="3" s="1"/>
  <c r="E55" i="3"/>
  <c r="H55" i="3" s="1"/>
  <c r="J55" i="3" s="1"/>
  <c r="E53" i="3"/>
  <c r="H53" i="3" s="1"/>
  <c r="J53" i="3" s="1"/>
  <c r="E52" i="3"/>
  <c r="H52" i="3" s="1"/>
  <c r="J52" i="3" s="1"/>
  <c r="E51" i="3"/>
  <c r="H51" i="3" s="1"/>
  <c r="J51" i="3" s="1"/>
  <c r="E50" i="3"/>
  <c r="H50" i="3" s="1"/>
  <c r="J50" i="3" s="1"/>
  <c r="E48" i="3"/>
  <c r="H48" i="3" s="1"/>
  <c r="J48" i="3" s="1"/>
  <c r="J57" i="3" l="1"/>
  <c r="I57" i="3"/>
  <c r="F37" i="29"/>
  <c r="D70" i="29" s="1"/>
  <c r="I56" i="3"/>
  <c r="I58" i="3"/>
  <c r="I55" i="3"/>
  <c r="I59" i="3"/>
  <c r="I50" i="3"/>
  <c r="I49" i="3"/>
  <c r="I51" i="3"/>
  <c r="I53" i="3"/>
  <c r="E26" i="5"/>
  <c r="F26" i="5" s="1"/>
  <c r="E70" i="29" l="1"/>
  <c r="E72" i="29" s="1"/>
  <c r="I52" i="3"/>
  <c r="I48" i="3"/>
  <c r="E30" i="5"/>
  <c r="F30" i="5" s="1"/>
  <c r="E29" i="5"/>
  <c r="F29" i="5" s="1"/>
  <c r="E24" i="5"/>
  <c r="F24" i="5" s="1"/>
  <c r="E23" i="5"/>
  <c r="F23" i="5" s="1"/>
  <c r="D36" i="5" l="1"/>
  <c r="D35" i="5"/>
  <c r="E46" i="3" l="1"/>
  <c r="H46" i="3" l="1"/>
  <c r="J46" i="3" s="1"/>
  <c r="I47" i="3"/>
  <c r="I46" i="3" l="1"/>
  <c r="J62" i="3"/>
  <c r="J61" i="3"/>
  <c r="I61" i="3"/>
  <c r="J64" i="3"/>
  <c r="I63" i="3" l="1"/>
  <c r="I62" i="3"/>
  <c r="B51" i="3"/>
  <c r="B50" i="3"/>
  <c r="B49" i="3"/>
  <c r="B48" i="3"/>
  <c r="B47" i="3"/>
  <c r="B46" i="3"/>
  <c r="C51" i="3"/>
  <c r="C50" i="3"/>
  <c r="C49" i="3"/>
  <c r="C48" i="3"/>
  <c r="C47" i="3"/>
  <c r="C46" i="3"/>
  <c r="E31" i="5" l="1"/>
  <c r="F31" i="5" s="1"/>
  <c r="E28" i="5"/>
  <c r="F28" i="5" s="1"/>
  <c r="E27" i="5"/>
  <c r="F27" i="5" s="1"/>
  <c r="E22" i="5"/>
  <c r="F22" i="5" s="1"/>
  <c r="E21" i="5"/>
  <c r="F21" i="5" s="1"/>
  <c r="E20" i="5"/>
  <c r="F20" i="5" s="1"/>
  <c r="E19" i="5"/>
  <c r="F19" i="5" s="1"/>
  <c r="E18" i="5"/>
  <c r="F18" i="5" s="1"/>
  <c r="E17" i="5"/>
  <c r="F17" i="5" l="1"/>
  <c r="E34" i="5"/>
  <c r="E33" i="5"/>
  <c r="E35" i="5"/>
  <c r="J63" i="3"/>
  <c r="E36" i="5"/>
  <c r="I64" i="3"/>
  <c r="F35" i="5" l="1"/>
  <c r="F34" i="5"/>
  <c r="F33" i="5"/>
  <c r="G23" i="7"/>
  <c r="F36" i="5"/>
  <c r="C27" i="7"/>
  <c r="F25" i="7"/>
  <c r="G25" i="7" s="1"/>
  <c r="G2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rev4175</author>
    <author>rev4440</author>
    <author>rev4279</author>
    <author>Moss, Brittney (DOR)</author>
    <author>Baker, Mike A (DOR)</author>
    <author>rev3569</author>
    <author>REVT221</author>
    <author>rev3857</author>
  </authors>
  <commentList>
    <comment ref="G22" authorId="0" shapeId="0" xr:uid="{1A6D8288-8709-400D-9D1B-990576FDD9EA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22" authorId="1" shapeId="0" xr:uid="{00000000-0006-0000-0200-000003000000}">
      <text>
        <r>
          <rPr>
            <sz val="9"/>
            <color indexed="81"/>
            <rFont val="Tahoma"/>
            <family val="2"/>
          </rPr>
          <t>Page 55 of PDF, 10-K</t>
        </r>
      </text>
    </comment>
    <comment ref="J22" authorId="1" shapeId="0" xr:uid="{8BE5A583-5071-4A09-93E2-4DD396022140}">
      <text>
        <r>
          <rPr>
            <sz val="9"/>
            <color indexed="81"/>
            <rFont val="Tahoma"/>
            <family val="2"/>
          </rPr>
          <t>Page 55 of PDF, 10-K</t>
        </r>
      </text>
    </comment>
    <comment ref="G23" authorId="0" shapeId="0" xr:uid="{C71C9FF9-A2A6-46DF-BE3B-88AB76A76979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23" authorId="1" shapeId="0" xr:uid="{00000000-0006-0000-0200-000006000000}">
      <text>
        <r>
          <rPr>
            <sz val="9"/>
            <color indexed="81"/>
            <rFont val="Tahoma"/>
            <family val="2"/>
          </rPr>
          <t>10K PG 93</t>
        </r>
      </text>
    </comment>
    <comment ref="J23" authorId="1" shapeId="0" xr:uid="{00000000-0006-0000-0200-000007000000}">
      <text>
        <r>
          <rPr>
            <sz val="9"/>
            <color indexed="81"/>
            <rFont val="Tahoma"/>
            <family val="2"/>
          </rPr>
          <t>10K PG 93</t>
        </r>
      </text>
    </comment>
    <comment ref="G24" authorId="0" shapeId="0" xr:uid="{3B3C61C2-38DA-4E13-9F24-9AFCFAB53AEC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24" authorId="1" shapeId="0" xr:uid="{00000000-0006-0000-0200-000008000000}">
      <text>
        <r>
          <rPr>
            <sz val="9"/>
            <color indexed="81"/>
            <rFont val="Tahoma"/>
            <family val="2"/>
          </rPr>
          <t>10K PG  112 of pdf less treasury</t>
        </r>
      </text>
    </comment>
    <comment ref="I24" authorId="2" shapeId="0" xr:uid="{B8B6E75B-8C72-4657-A6A7-96A7EC45F5D7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 370 of PDF CONTINGENTLY REDEEMABLE PERFORMANCE SHARE AWARDS</t>
        </r>
      </text>
    </comment>
    <comment ref="J24" authorId="1" shapeId="0" xr:uid="{00000000-0006-0000-0200-000009000000}">
      <text>
        <r>
          <rPr>
            <sz val="9"/>
            <color indexed="81"/>
            <rFont val="Tahoma"/>
            <family val="2"/>
          </rPr>
          <t xml:space="preserve">10K PG 112 of pdf
 </t>
        </r>
      </text>
    </comment>
    <comment ref="G25" authorId="0" shapeId="0" xr:uid="{FA06710A-388F-4E44-B4B9-82053279397C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25" authorId="3" shapeId="0" xr:uid="{5B704CA9-4BD9-48B8-9577-D98F3533FD9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109 of pdf</t>
        </r>
      </text>
    </comment>
    <comment ref="J25" authorId="3" shapeId="0" xr:uid="{20857E3D-D83C-4A04-BCE5-AD60339BEF80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109 of pdf</t>
        </r>
      </text>
    </comment>
    <comment ref="G26" authorId="0" shapeId="0" xr:uid="{2EE4D18D-A768-4904-BC59-0C8A2598BBB0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26" authorId="3" shapeId="0" xr:uid="{5D9D8385-B9A5-4FD0-AE86-91DBDB7129F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102 of pdf</t>
        </r>
      </text>
    </comment>
    <comment ref="I26" authorId="3" shapeId="0" xr:uid="{8CD74AA5-7674-4AFD-8E1A-BF47A7E80E7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102 of pdf</t>
        </r>
      </text>
    </comment>
    <comment ref="J26" authorId="3" shapeId="0" xr:uid="{6751043B-1A27-4B6D-B848-8B4AAE14BC8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102 of pdf
LTD PLUS CURRENT PORTION LTD PLUS NON-CURRENT PORTION OF FINANCIAL LEASES</t>
        </r>
      </text>
    </comment>
    <comment ref="G27" authorId="0" shapeId="0" xr:uid="{E10F98AD-C55B-441B-B448-690B00AEAF7F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27" authorId="1" shapeId="0" xr:uid="{00000000-0006-0000-0200-000010000000}">
      <text>
        <r>
          <rPr>
            <sz val="9"/>
            <color indexed="81"/>
            <rFont val="Tahoma"/>
            <family val="2"/>
          </rPr>
          <t>10K PG 64 of  PDF</t>
        </r>
      </text>
    </comment>
    <comment ref="J27" authorId="1" shapeId="0" xr:uid="{9EE20161-9CBB-4534-B336-25F746782FE9}">
      <text>
        <r>
          <rPr>
            <sz val="9"/>
            <color indexed="81"/>
            <rFont val="Tahoma"/>
            <family val="2"/>
          </rPr>
          <t>10K PG 64 of  PDF</t>
        </r>
      </text>
    </comment>
    <comment ref="G28" authorId="0" shapeId="0" xr:uid="{B57A0493-28BA-4274-BDDB-3D8A7545EFF4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28" authorId="1" shapeId="0" xr:uid="{00000000-0006-0000-0200-000013000000}">
      <text>
        <r>
          <rPr>
            <sz val="9"/>
            <color indexed="81"/>
            <rFont val="Tahoma"/>
            <family val="2"/>
          </rPr>
          <t>10K PG 77 of  PDF</t>
        </r>
      </text>
    </comment>
    <comment ref="I28" authorId="1" shapeId="0" xr:uid="{A3351A50-2F7B-424F-8A04-F4993C91CABB}">
      <text>
        <r>
          <rPr>
            <sz val="9"/>
            <color indexed="81"/>
            <rFont val="Tahoma"/>
            <family val="2"/>
          </rPr>
          <t>10K PG 77 of  PDF</t>
        </r>
      </text>
    </comment>
    <comment ref="J28" authorId="1" shapeId="0" xr:uid="{6EC04E27-7393-457D-9BF9-8FDC48AE9A31}">
      <text>
        <r>
          <rPr>
            <sz val="9"/>
            <color indexed="81"/>
            <rFont val="Tahoma"/>
            <family val="2"/>
          </rPr>
          <t>10K PG 77 of  PDF</t>
        </r>
      </text>
    </comment>
    <comment ref="G29" authorId="0" shapeId="0" xr:uid="{AA75352F-133A-49CE-9740-6D61705BE427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29" authorId="1" shapeId="0" xr:uid="{00000000-0006-0000-0200-000016000000}">
      <text>
        <r>
          <rPr>
            <sz val="9"/>
            <color indexed="81"/>
            <rFont val="Tahoma"/>
            <family val="2"/>
          </rPr>
          <t>10K PG 68 of pdf  PDF</t>
        </r>
      </text>
    </comment>
    <comment ref="J29" authorId="1" shapeId="0" xr:uid="{AF3F2FE8-B147-4942-AB58-D9E6E27A4DDA}">
      <text>
        <r>
          <rPr>
            <sz val="9"/>
            <color indexed="81"/>
            <rFont val="Tahoma"/>
            <family val="2"/>
          </rPr>
          <t>10K PG 68 of pdf  PDF</t>
        </r>
      </text>
    </comment>
    <comment ref="G30" authorId="0" shapeId="0" xr:uid="{427C8107-C797-469B-9E70-FEA802766310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30" authorId="4" shapeId="0" xr:uid="{905F2E1B-5CF7-497E-9B76-34766AB716A3}">
      <text>
        <r>
          <rPr>
            <sz val="9"/>
            <color indexed="81"/>
            <rFont val="Tahoma"/>
            <family val="2"/>
          </rPr>
          <t xml:space="preserve">10K PG 79  of pdf
</t>
        </r>
      </text>
    </comment>
    <comment ref="J30" authorId="4" shapeId="0" xr:uid="{5720CADA-0AE1-407C-8D49-A5D01DAF4D05}">
      <text>
        <r>
          <rPr>
            <sz val="9"/>
            <color indexed="81"/>
            <rFont val="Tahoma"/>
            <family val="2"/>
          </rPr>
          <t xml:space="preserve">10K PG 82  of pdf
</t>
        </r>
      </text>
    </comment>
    <comment ref="G31" authorId="0" shapeId="0" xr:uid="{ED364936-DAA7-48FE-BBEA-EFADD8621191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31" authorId="1" shapeId="0" xr:uid="{00000000-0006-0000-0200-000019000000}">
      <text>
        <r>
          <rPr>
            <sz val="9"/>
            <color indexed="81"/>
            <rFont val="Tahoma"/>
            <family val="2"/>
          </rPr>
          <t>Google  + Macrotrends.net</t>
        </r>
      </text>
    </comment>
    <comment ref="J31" authorId="1" shapeId="0" xr:uid="{E77E7F90-87B2-4B4A-AC68-C1B6AAC246F8}">
      <text>
        <r>
          <rPr>
            <sz val="9"/>
            <color indexed="81"/>
            <rFont val="Tahoma"/>
            <family val="2"/>
          </rPr>
          <t>10K PG  45 of 
 PDF</t>
        </r>
      </text>
    </comment>
    <comment ref="G32" authorId="0" shapeId="0" xr:uid="{CB4E09A1-3365-42B8-BE71-77CA82286B1C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32" authorId="1" shapeId="0" xr:uid="{00000000-0006-0000-0200-00001D000000}">
      <text>
        <r>
          <rPr>
            <sz val="9"/>
            <color indexed="81"/>
            <rFont val="Tahoma"/>
            <family val="2"/>
          </rPr>
          <t>10K PG 58  of pdf</t>
        </r>
      </text>
    </comment>
    <comment ref="J32" authorId="1" shapeId="0" xr:uid="{46773B6D-A539-471C-815B-19DBDFF3963E}">
      <text>
        <r>
          <rPr>
            <sz val="9"/>
            <color indexed="81"/>
            <rFont val="Tahoma"/>
            <family val="2"/>
          </rPr>
          <t>10K PG 57 of pdf</t>
        </r>
      </text>
    </comment>
    <comment ref="G33" authorId="0" shapeId="0" xr:uid="{895C9E0D-955F-4DBF-8F46-F03C3F15FB2C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33" authorId="1" shapeId="0" xr:uid="{00000000-0006-0000-0200-00001F000000}">
      <text>
        <r>
          <rPr>
            <sz val="9"/>
            <color indexed="81"/>
            <rFont val="Tahoma"/>
            <family val="2"/>
          </rPr>
          <t>10K PG 49 of pdf</t>
        </r>
      </text>
    </comment>
    <comment ref="J33" authorId="1" shapeId="0" xr:uid="{0C4351AE-D36A-4303-BB98-52E7C40DA011}">
      <text>
        <r>
          <rPr>
            <sz val="9"/>
            <color indexed="81"/>
            <rFont val="Tahoma"/>
            <family val="2"/>
          </rPr>
          <t>10K PG 49 of pdf</t>
        </r>
      </text>
    </comment>
    <comment ref="G34" authorId="0" shapeId="0" xr:uid="{07B32BC3-0EA2-4D9E-A8B5-A6807EA8E163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34" authorId="1" shapeId="0" xr:uid="{00000000-0006-0000-0200-000021000000}">
      <text>
        <r>
          <rPr>
            <sz val="9"/>
            <color indexed="81"/>
            <rFont val="Tahoma"/>
            <family val="2"/>
          </rPr>
          <t xml:space="preserve">10K PG  94 of pdf
</t>
        </r>
      </text>
    </comment>
    <comment ref="J34" authorId="1" shapeId="0" xr:uid="{00000000-0006-0000-0200-000022000000}">
      <text>
        <r>
          <rPr>
            <sz val="9"/>
            <color indexed="81"/>
            <rFont val="Tahoma"/>
            <family val="2"/>
          </rPr>
          <t>10K PG 93 of pdf</t>
        </r>
      </text>
    </comment>
    <comment ref="G35" authorId="0" shapeId="0" xr:uid="{D0ED23AD-ED01-47B7-8F36-ABD169347235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35" authorId="1" shapeId="0" xr:uid="{00000000-0006-0000-0200-000023000000}">
      <text>
        <r>
          <rPr>
            <sz val="9"/>
            <color indexed="81"/>
            <rFont val="Tahoma"/>
            <family val="2"/>
          </rPr>
          <t>10K PG 124</t>
        </r>
      </text>
    </comment>
    <comment ref="J35" authorId="1" shapeId="0" xr:uid="{00000000-0006-0000-0200-000025000000}">
      <text>
        <r>
          <rPr>
            <sz val="9"/>
            <color indexed="81"/>
            <rFont val="Tahoma"/>
            <family val="2"/>
          </rPr>
          <t>10K PG 124 of pdf</t>
        </r>
      </text>
    </comment>
    <comment ref="G36" authorId="0" shapeId="0" xr:uid="{A537224F-5D0D-43EE-98B3-5B87FB50F8F9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12/31 Close</t>
        </r>
      </text>
    </comment>
    <comment ref="H36" authorId="3" shapeId="0" xr:uid="{50BD606B-D62D-4F3D-9A78-A226CB0C420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I36" authorId="3" shapeId="0" xr:uid="{464D6936-8DF3-4DAD-80C0-A8B639B2CDC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J36" authorId="3" shapeId="0" xr:uid="{C3D0FD36-5E82-4C51-83BE-9BC6625A998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F42" authorId="5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F46" authorId="4" shapeId="0" xr:uid="{475474B9-E265-4379-B3B6-EA3FE617EBCA}">
      <text>
        <r>
          <rPr>
            <b/>
            <sz val="9"/>
            <color indexed="81"/>
            <rFont val="Tahoma"/>
            <family val="2"/>
          </rPr>
          <t>10K PG 88 of pdf NOTE 9</t>
        </r>
      </text>
    </comment>
    <comment ref="G46" authorId="6" shapeId="0" xr:uid="{00000000-0006-0000-0200-00002A000000}">
      <text>
        <r>
          <rPr>
            <sz val="9"/>
            <color indexed="81"/>
            <rFont val="Tahoma"/>
            <family val="2"/>
          </rPr>
          <t>10K PG 105 of  PDF (FV / Carrying amount)</t>
        </r>
      </text>
    </comment>
    <comment ref="G47" authorId="6" shapeId="0" xr:uid="{00000000-0006-0000-0200-00002B000000}">
      <text>
        <r>
          <rPr>
            <sz val="9"/>
            <color indexed="81"/>
            <rFont val="Tahoma"/>
            <family val="2"/>
          </rPr>
          <t>10K PG 136 of pdf NOTE 8</t>
        </r>
      </text>
    </comment>
    <comment ref="F48" authorId="4" shapeId="0" xr:uid="{63373936-8EB4-4F1C-B4F2-DDC0B172CE1C}">
      <text>
        <r>
          <rPr>
            <sz val="9"/>
            <color indexed="81"/>
            <rFont val="Tahoma"/>
            <family val="2"/>
          </rPr>
          <t xml:space="preserve">10K PG 306 PDF NOTE 13 </t>
        </r>
      </text>
    </comment>
    <comment ref="G48" authorId="6" shapeId="0" xr:uid="{00000000-0006-0000-0200-00002C000000}">
      <text>
        <r>
          <rPr>
            <sz val="9"/>
            <color indexed="81"/>
            <rFont val="Tahoma"/>
            <family val="2"/>
          </rPr>
          <t>10K PG 286 of PDF NOTE 11</t>
        </r>
      </text>
    </comment>
    <comment ref="F49" authorId="3" shapeId="0" xr:uid="{767C91D5-873E-44C7-BD40-67642E77B2D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190 of pdf</t>
        </r>
      </text>
    </comment>
    <comment ref="G49" authorId="3" shapeId="0" xr:uid="{634B17FD-DB03-4067-9094-B4F7BE5FF73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159 of pdf</t>
        </r>
      </text>
    </comment>
    <comment ref="F50" authorId="3" shapeId="0" xr:uid="{2BC3E8AE-FDCA-47DB-BB86-9F6230DD755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147 of pdf  NOTE 9 LEASES</t>
        </r>
      </text>
    </comment>
    <comment ref="G50" authorId="3" shapeId="0" xr:uid="{4A221F21-0C65-4458-9CBE-21A9622A177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140 of pdf NOTE FINANCIAL INSTRUMENTS</t>
        </r>
      </text>
    </comment>
    <comment ref="F51" authorId="4" shapeId="0" xr:uid="{85885D97-24C4-41FD-8155-C17FBD20C35C}">
      <text>
        <r>
          <rPr>
            <sz val="9"/>
            <color indexed="81"/>
            <rFont val="Tahoma"/>
            <family val="2"/>
          </rPr>
          <t>10K PG 126 of PDF NOTE 16</t>
        </r>
      </text>
    </comment>
    <comment ref="G51" authorId="7" shapeId="0" xr:uid="{00000000-0006-0000-0200-00002F000000}">
      <text>
        <r>
          <rPr>
            <sz val="9"/>
            <color indexed="81"/>
            <rFont val="Tahoma"/>
            <family val="2"/>
          </rPr>
          <t>Page 113 of PDF, 10-K</t>
        </r>
      </text>
    </comment>
    <comment ref="F52" authorId="4" shapeId="0" xr:uid="{13DB9954-9406-442A-BA0A-66F028123C85}">
      <text>
        <r>
          <rPr>
            <sz val="9"/>
            <color indexed="81"/>
            <rFont val="Tahoma"/>
            <family val="2"/>
          </rPr>
          <t>10K PG 167 NOTE 6</t>
        </r>
      </text>
    </comment>
    <comment ref="G52" authorId="7" shapeId="0" xr:uid="{00000000-0006-0000-0200-000030000000}">
      <text>
        <r>
          <rPr>
            <sz val="9"/>
            <color indexed="81"/>
            <rFont val="Tahoma"/>
            <family val="2"/>
          </rPr>
          <t xml:space="preserve">10K PG 202 of pdf NOTE 17 </t>
        </r>
      </text>
    </comment>
    <comment ref="F53" authorId="4" shapeId="0" xr:uid="{0CF17D56-878C-40B2-8813-18D7A6AB3D7D}">
      <text>
        <r>
          <rPr>
            <sz val="9"/>
            <color indexed="81"/>
            <rFont val="Tahoma"/>
            <family val="2"/>
          </rPr>
          <t>10K PG 167 NOTE 10/ 
Pg188 of pdf</t>
        </r>
      </text>
    </comment>
    <comment ref="G53" authorId="7" shapeId="0" xr:uid="{FFC7F4A7-FB3E-4AEA-B8BF-E8A827A168BA}">
      <text>
        <r>
          <rPr>
            <sz val="9"/>
            <color indexed="81"/>
            <rFont val="Tahoma"/>
            <family val="2"/>
          </rPr>
          <t>Page 160 of PDF, 10-K</t>
        </r>
      </text>
    </comment>
    <comment ref="F54" authorId="4" shapeId="0" xr:uid="{2A8E0A64-059C-44ED-B434-EB8A3CC9EB54}">
      <text>
        <r>
          <rPr>
            <sz val="9"/>
            <color indexed="81"/>
            <rFont val="Tahoma"/>
            <family val="2"/>
          </rPr>
          <t>10K PG 166 PDF  NOTE 21</t>
        </r>
      </text>
    </comment>
    <comment ref="G54" authorId="7" shapeId="0" xr:uid="{AAF0DF28-195B-4EDB-8FAE-8AF53FAA299A}">
      <text>
        <r>
          <rPr>
            <sz val="9"/>
            <color indexed="81"/>
            <rFont val="Tahoma"/>
            <family val="2"/>
          </rPr>
          <t>10K PG 141 of pdf  NOTE 14</t>
        </r>
      </text>
    </comment>
    <comment ref="F55" authorId="4" shapeId="0" xr:uid="{A80E4ABD-662F-4CF2-99A5-8AE7215E5A4B}">
      <text>
        <r>
          <rPr>
            <sz val="9"/>
            <color indexed="81"/>
            <rFont val="Tahoma"/>
            <family val="2"/>
          </rPr>
          <t xml:space="preserve">10K pge 143 of pdf
</t>
        </r>
      </text>
    </comment>
    <comment ref="G55" authorId="7" shapeId="0" xr:uid="{00000000-0006-0000-0200-000032000000}">
      <text>
        <r>
          <rPr>
            <sz val="9"/>
            <color indexed="81"/>
            <rFont val="Tahoma"/>
            <family val="2"/>
          </rPr>
          <t>10K PG 150 of pdf NOTE 10</t>
        </r>
      </text>
    </comment>
    <comment ref="F56" authorId="4" shapeId="0" xr:uid="{71947A63-E4F3-4B1A-BA2E-B2E4B918ABA2}">
      <text>
        <r>
          <rPr>
            <sz val="9"/>
            <color indexed="81"/>
            <rFont val="Tahoma"/>
            <family val="2"/>
          </rPr>
          <t>10K PG 71 of pdf NOTE 4</t>
        </r>
      </text>
    </comment>
    <comment ref="G56" authorId="7" shapeId="0" xr:uid="{00000000-0006-0000-0200-000034000000}">
      <text>
        <r>
          <rPr>
            <sz val="9"/>
            <color indexed="81"/>
            <rFont val="Tahoma"/>
            <family val="2"/>
          </rPr>
          <t>10K PG 73 of pdf NOTE 5</t>
        </r>
      </text>
    </comment>
    <comment ref="F57" authorId="4" shapeId="0" xr:uid="{76CE51A2-9F06-48C0-8231-C19241B9E231}">
      <text>
        <r>
          <rPr>
            <sz val="11"/>
            <color indexed="81"/>
            <rFont val="Tahoma"/>
            <family val="2"/>
          </rPr>
          <t>10K PG 70</t>
        </r>
      </text>
    </comment>
    <comment ref="G57" authorId="7" shapeId="0" xr:uid="{00000000-0006-0000-0200-000035000000}">
      <text>
        <r>
          <rPr>
            <sz val="9"/>
            <color indexed="81"/>
            <rFont val="Tahoma"/>
            <family val="2"/>
          </rPr>
          <t>10K PG  86 of pdf</t>
        </r>
      </text>
    </comment>
    <comment ref="F58" authorId="5" shapeId="0" xr:uid="{A1D27D0E-7C5E-4D48-A1BC-B150E9DA903F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PPL 10K pg 70 of pdf
</t>
        </r>
      </text>
    </comment>
    <comment ref="G58" authorId="7" shapeId="0" xr:uid="{00000000-0006-0000-0200-000036000000}">
      <text>
        <r>
          <rPr>
            <sz val="9"/>
            <color indexed="81"/>
            <rFont val="Tahoma"/>
            <family val="2"/>
          </rPr>
          <t>10K PG 183 of pdf NOTE 15</t>
        </r>
      </text>
    </comment>
    <comment ref="F59" authorId="4" shapeId="0" xr:uid="{8CA13169-F88E-47F3-89FB-1BDD11394E0D}">
      <text>
        <r>
          <rPr>
            <sz val="9"/>
            <color indexed="81"/>
            <rFont val="Tahoma"/>
            <family val="2"/>
          </rPr>
          <t xml:space="preserve"> 10K PG 123 of pdf</t>
        </r>
      </text>
    </comment>
    <comment ref="G59" authorId="7" shapeId="0" xr:uid="{00000000-0006-0000-0200-000037000000}">
      <text>
        <r>
          <rPr>
            <sz val="9"/>
            <color indexed="81"/>
            <rFont val="Tahoma"/>
            <family val="2"/>
          </rPr>
          <t>10K PG 282 of pdf</t>
        </r>
      </text>
    </comment>
    <comment ref="F60" authorId="3" shapeId="0" xr:uid="{11F878F3-B7CF-4883-B205-3BC3CBB5AD6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145 of pdf</t>
        </r>
      </text>
    </comment>
    <comment ref="G60" authorId="3" shapeId="0" xr:uid="{8210AD18-E2B6-44E1-A139-0E2A75355BC0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147 NOTE 17 FAIR VALUE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rev4279</author>
    <author>Baker, Mike A (DOR)</author>
  </authors>
  <commentList>
    <comment ref="E22" authorId="0" shapeId="0" xr:uid="{8C39553E-8730-4549-AADF-F9E4087FF2F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55 of pdf</t>
        </r>
      </text>
    </comment>
    <comment ref="E23" authorId="0" shapeId="0" xr:uid="{86561DB9-EBA7-4F83-9D21-E624B049D05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93 of pdf</t>
        </r>
      </text>
    </comment>
    <comment ref="E24" authorId="0" shapeId="0" xr:uid="{E9CFF420-F60C-4CBD-B923-6DF2BF219F9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133 of pdf</t>
        </r>
      </text>
    </comment>
    <comment ref="E25" authorId="1" shapeId="0" xr:uid="{485F2D08-3B78-4713-B1B4-8C8BF30BE987}">
      <text>
        <r>
          <rPr>
            <sz val="9"/>
            <color indexed="81"/>
            <rFont val="Tahoma"/>
            <family val="2"/>
          </rPr>
          <t>10K PG 110 of pdf</t>
        </r>
      </text>
    </comment>
    <comment ref="E26" authorId="0" shapeId="0" xr:uid="{DC1F5935-7040-4FEF-9E91-0FA9877A1B0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111 of pdf</t>
        </r>
      </text>
    </comment>
    <comment ref="E27" authorId="0" shapeId="0" xr:uid="{6CED65F7-296C-4685-BB3D-795B2A110E2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E28" authorId="0" shapeId="0" xr:uid="{7E58F6CD-0419-4F74-B7F2-8047E7E65CD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77 of pdf</t>
        </r>
      </text>
    </comment>
    <comment ref="E29" authorId="0" shapeId="0" xr:uid="{DE56AC4B-0A19-4721-9968-179451DEEFF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68 of pdf</t>
        </r>
      </text>
    </comment>
    <comment ref="E30" authorId="0" shapeId="0" xr:uid="{03CAFA61-BFA7-4BB9-A2EC-424AFB9CFEB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77 of pdf</t>
        </r>
      </text>
    </comment>
    <comment ref="E31" authorId="0" shapeId="0" xr:uid="{4A8D173F-E304-4309-9F29-D52C373B4872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78 of PDF</t>
        </r>
      </text>
    </comment>
    <comment ref="E32" authorId="0" shapeId="0" xr:uid="{7142323E-6362-43F1-B06C-AE16831E5D11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52 of pdf</t>
        </r>
      </text>
    </comment>
    <comment ref="E33" authorId="0" shapeId="0" xr:uid="{804186A9-78FA-4BD7-9B77-80F1175A08A0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50 of pdf</t>
        </r>
      </text>
    </comment>
    <comment ref="E34" authorId="1" shapeId="0" xr:uid="{7504FF26-3DB6-4EF8-B9DF-CA5659494596}">
      <text>
        <r>
          <rPr>
            <sz val="9"/>
            <color indexed="81"/>
            <rFont val="Tahoma"/>
            <family val="2"/>
          </rPr>
          <t>10K PG 89 of pdf</t>
        </r>
      </text>
    </comment>
    <comment ref="E35" authorId="0" shapeId="0" xr:uid="{0F9D7117-2F51-4C46-8483-CEA31F448CD5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124 of pdf</t>
        </r>
      </text>
    </comment>
    <comment ref="E36" authorId="0" shapeId="0" xr:uid="{CDCE16C1-3EE2-4627-A8E4-FE68587C5D46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113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rev4279</author>
    <author>rev4175</author>
  </authors>
  <commentList>
    <comment ref="D20" authorId="0" shapeId="0" xr:uid="{A49BE37A-C1EF-43BB-A266-586BC5FF0CB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80 of pdf</t>
        </r>
      </text>
    </comment>
    <comment ref="E20" authorId="0" shapeId="0" xr:uid="{49AD5217-3268-4A53-AE79-3649E76B0058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71 NOTE 3</t>
        </r>
      </text>
    </comment>
    <comment ref="G20" authorId="0" shapeId="0" xr:uid="{088B8B43-8146-4269-AD48-625D21CBF873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54 of pdf
</t>
        </r>
      </text>
    </comment>
    <comment ref="D21" authorId="0" shapeId="0" xr:uid="{193F8C9E-68C0-4D68-B591-7FC55D54C9DE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120 of pdf</t>
        </r>
      </text>
    </comment>
    <comment ref="E21" authorId="0" shapeId="0" xr:uid="{6B6A9D6C-ED2B-4ABE-BF60-9071CCBBA45D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116 NOTE 3</t>
        </r>
      </text>
    </comment>
    <comment ref="G21" authorId="0" shapeId="0" xr:uid="{0FE3BBBD-A39B-47B9-ABEB-727FBFFDA867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92 of pdf</t>
        </r>
      </text>
    </comment>
    <comment ref="D22" authorId="0" shapeId="0" xr:uid="{0504FF36-8AEE-4DC1-A299-732474791163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111 of pdf</t>
        </r>
      </text>
    </comment>
    <comment ref="E22" authorId="0" shapeId="0" xr:uid="{1645ACC2-7600-4A1C-9E72-BC1A0CC34321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93</t>
        </r>
      </text>
    </comment>
    <comment ref="G22" authorId="0" shapeId="0" xr:uid="{DE80A75A-03F1-43DD-B019-79D7002C7C21}">
      <text>
        <r>
          <rPr>
            <b/>
            <sz val="9"/>
            <color indexed="81"/>
            <rFont val="Tahoma"/>
            <family val="2"/>
          </rPr>
          <t>rev4175</t>
        </r>
        <r>
          <rPr>
            <sz val="9"/>
            <color indexed="81"/>
            <rFont val="Tahoma"/>
            <family val="2"/>
          </rPr>
          <t xml:space="preserve">
10K PG 108 of pdf</t>
        </r>
      </text>
    </comment>
    <comment ref="D23" authorId="0" shapeId="0" xr:uid="{6ADA7F00-5568-4365-B7EE-F6F9E95575E3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108 of pdf</t>
        </r>
      </text>
    </comment>
    <comment ref="E23" authorId="0" shapeId="0" xr:uid="{3598B522-E707-4EBF-B57D-8123FAA34E2A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112 NOTE 3</t>
        </r>
      </text>
    </comment>
    <comment ref="G23" authorId="0" shapeId="0" xr:uid="{2A1A4AFF-FCBC-4639-8809-CA2B4312D7F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106 of pdf</t>
        </r>
      </text>
    </comment>
    <comment ref="D24" authorId="0" shapeId="0" xr:uid="{12EBF646-1603-4A57-B760-25E475D603E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109 of pdf</t>
        </r>
      </text>
    </comment>
    <comment ref="E24" authorId="0" shapeId="0" xr:uid="{F187A036-1396-4EE5-967C-D2848527EC84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98</t>
        </r>
      </text>
    </comment>
    <comment ref="G24" authorId="0" shapeId="0" xr:uid="{3C14AC6C-22B0-49E4-9DF5-C5A2D2A3EE43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97
 of pdf</t>
        </r>
      </text>
    </comment>
    <comment ref="D25" authorId="0" shapeId="0" xr:uid="{3CCCE5E1-DC33-483A-B071-6FCCA9FADFB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E25" authorId="0" shapeId="0" xr:uid="{2E1ACE61-49B5-440E-BED2-6B55A0DAEB3F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59</t>
        </r>
      </text>
    </comment>
    <comment ref="G25" authorId="0" shapeId="0" xr:uid="{58A7A9C6-8B4F-4533-862E-45AAC6D3F29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98 of pdf</t>
        </r>
      </text>
    </comment>
    <comment ref="D26" authorId="0" shapeId="0" xr:uid="{C4AD34F9-25FD-426A-A450-3EA24DC5B66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77 of pdf</t>
        </r>
      </text>
    </comment>
    <comment ref="E26" authorId="0" shapeId="0" xr:uid="{65676964-5DD8-430D-9284-7432E15CBDBA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79</t>
        </r>
      </text>
    </comment>
    <comment ref="G26" authorId="0" shapeId="0" xr:uid="{2D7C459D-88C7-4909-92E7-6C77EA244177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75 of pdf</t>
        </r>
      </text>
    </comment>
    <comment ref="D27" authorId="0" shapeId="0" xr:uid="{3E3FF2BB-697C-4220-BBE0-0CFCBE3BB9E1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66 of pdf</t>
        </r>
      </text>
    </comment>
    <comment ref="E27" authorId="0" shapeId="0" xr:uid="{A1F4C02D-9F33-4EFE-B348-ACB58DCA77A4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44</t>
        </r>
      </text>
    </comment>
    <comment ref="G27" authorId="0" shapeId="0" xr:uid="{9F01EF30-BB6F-429E-9C88-34D95FDD49B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61 of pdf</t>
        </r>
      </text>
    </comment>
    <comment ref="D28" authorId="0" shapeId="0" xr:uid="{6C22DDCD-A4C4-439B-A49F-172F3AD8CAC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113 of pdf</t>
        </r>
      </text>
    </comment>
    <comment ref="E28" authorId="0" shapeId="0" xr:uid="{9F16F9F8-F505-4C63-B41D-BB6BB22B7E4E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113 NOTE 7</t>
        </r>
      </text>
    </comment>
    <comment ref="G28" authorId="0" shapeId="0" xr:uid="{B4CF8A39-5EE6-4F1A-8D07-65582A59121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75 of pdf</t>
        </r>
      </text>
    </comment>
    <comment ref="D29" authorId="0" shapeId="0" xr:uid="{C3BCC5FC-4322-49F3-A56E-0322493549D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45 of pdf</t>
        </r>
      </text>
    </comment>
    <comment ref="E29" authorId="0" shapeId="0" xr:uid="{68077CEE-37FA-4019-9B43-28E8B4BE4548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PRIOR YEAR NUMBER CORRECTE</t>
        </r>
      </text>
    </comment>
    <comment ref="G29" authorId="1" shapeId="0" xr:uid="{2123651C-75EB-4935-B446-410FC8ADABBE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 page 44 of pdf</t>
        </r>
      </text>
    </comment>
    <comment ref="D30" authorId="0" shapeId="0" xr:uid="{A42C82A5-BA54-4C3E-9702-30304A840451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51 of pdf</t>
        </r>
      </text>
    </comment>
    <comment ref="E30" authorId="0" shapeId="0" xr:uid="{D7755FC6-257C-43D2-AD24-D371F00D7575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51</t>
        </r>
      </text>
    </comment>
    <comment ref="G30" authorId="0" shapeId="0" xr:uid="{E5448AFD-924B-4C10-897B-3DFEF46B2105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47 PDF</t>
        </r>
      </text>
    </comment>
    <comment ref="D31" authorId="0" shapeId="0" xr:uid="{6510AB0E-22DE-46DC-BBCE-F0FBACA2305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68</t>
        </r>
      </text>
    </comment>
    <comment ref="E31" authorId="0" shapeId="0" xr:uid="{074F1BBF-5AD4-438C-8D68-9D703A829F44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56 NOTE 6</t>
        </r>
      </text>
    </comment>
    <comment ref="G31" authorId="0" shapeId="0" xr:uid="{F84CE1D9-82DC-4698-BF1C-92D8B5902E3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51  PDF</t>
        </r>
      </text>
    </comment>
    <comment ref="D32" authorId="0" shapeId="0" xr:uid="{8CE3E82D-EBF9-4F46-97B1-AE30612D4A73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88 of pdf</t>
        </r>
      </text>
    </comment>
    <comment ref="E32" authorId="0" shapeId="0" xr:uid="{26EB6C2D-81F3-4068-AB59-F9E872555B5C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76</t>
        </r>
      </text>
    </comment>
    <comment ref="G32" authorId="0" shapeId="0" xr:uid="{02BB5D51-043A-47FF-ABD0-73DAEE75D1F7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89 of pdf</t>
        </r>
      </text>
    </comment>
    <comment ref="D33" authorId="0" shapeId="0" xr:uid="{69C4B1CD-784B-48FC-B6A0-916553F788A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123 of pdf</t>
        </r>
      </text>
    </comment>
    <comment ref="E33" authorId="0" shapeId="0" xr:uid="{7C9D7B80-1DEB-4F0D-9A8F-D1277B1AB4C2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II-78</t>
        </r>
      </text>
    </comment>
    <comment ref="G33" authorId="0" shapeId="0" xr:uid="{51BC49CB-47E7-46D5-A49F-400B32DAF9F7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122 of pdf</t>
        </r>
      </text>
    </comment>
    <comment ref="D34" authorId="0" shapeId="0" xr:uid="{C9D91E2E-B22D-489F-9676-4E38470752A8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127 of pdf</t>
        </r>
      </text>
    </comment>
    <comment ref="E34" authorId="0" shapeId="0" xr:uid="{52468897-4E90-4D7B-BA4E-F06CEA44CB1D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89</t>
        </r>
      </text>
    </comment>
    <comment ref="G34" authorId="0" shapeId="0" xr:uid="{D1DFBAB4-079B-48AC-844B-F5BA67805A55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98 of pdf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<sst xmlns="http://schemas.openxmlformats.org/spreadsheetml/2006/main" count="1547" uniqueCount="509">
  <si>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</si>
  <si>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</si>
  <si>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</si>
  <si>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</si>
  <si>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</si>
  <si>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</si>
  <si>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</si>
  <si>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</si>
  <si>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</si>
  <si>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</si>
  <si>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</si>
  <si>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</si>
  <si>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</si>
  <si>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</si>
  <si>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</si>
  <si>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</si>
  <si>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</si>
  <si>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</si>
  <si>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</si>
  <si>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</si>
  <si>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</si>
  <si>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</si>
  <si>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</si>
  <si>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</si>
  <si>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</si>
  <si>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</si>
  <si>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B++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</si>
  <si>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</si>
  <si>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</si>
  <si>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</si>
  <si>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</si>
  <si>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</si>
  <si>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</si>
  <si>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</si>
  <si>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</si>
  <si>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</si>
  <si>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</si>
  <si>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</si>
  <si>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</si>
  <si>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</si>
  <si>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</si>
  <si>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-</t>
  </si>
  <si>
    <t>DEBT</t>
  </si>
  <si>
    <t>TOTAL</t>
  </si>
  <si>
    <t>Alliant Energy</t>
  </si>
  <si>
    <t>AMEREN</t>
  </si>
  <si>
    <t>American Electric Power</t>
  </si>
  <si>
    <t>Centerpoint Energy</t>
  </si>
  <si>
    <t>CMS Energy</t>
  </si>
  <si>
    <t>DTE Energy</t>
  </si>
  <si>
    <t>OGE Energy Corp.</t>
  </si>
  <si>
    <t>Otter Tail Corp</t>
  </si>
  <si>
    <t>WEC Energy Group</t>
  </si>
  <si>
    <t>LNT</t>
  </si>
  <si>
    <t>CMS</t>
  </si>
  <si>
    <t>DTE</t>
  </si>
  <si>
    <t>OGE</t>
  </si>
  <si>
    <t>AEE</t>
  </si>
  <si>
    <t>AEP</t>
  </si>
  <si>
    <t>CNP</t>
  </si>
  <si>
    <t>OTTR</t>
  </si>
  <si>
    <t>WEC</t>
  </si>
  <si>
    <t>A+</t>
  </si>
  <si>
    <t xml:space="preserve">  </t>
  </si>
  <si>
    <t>High</t>
  </si>
  <si>
    <t>Low</t>
  </si>
  <si>
    <t>DUK</t>
  </si>
  <si>
    <t>Entergy Corp</t>
  </si>
  <si>
    <t>ETR</t>
  </si>
  <si>
    <t>PPL Corp</t>
  </si>
  <si>
    <t>PPL</t>
  </si>
  <si>
    <t>Southern Company</t>
  </si>
  <si>
    <t>SO</t>
  </si>
  <si>
    <t>Duke Energy</t>
  </si>
  <si>
    <t>PPL Corporation</t>
  </si>
  <si>
    <t>Mergent Bond</t>
  </si>
  <si>
    <t>Rating</t>
  </si>
  <si>
    <t>FirstEnergy Corp</t>
  </si>
  <si>
    <t>FE</t>
  </si>
  <si>
    <t>Debt Rate</t>
  </si>
  <si>
    <t>S&amp;P</t>
  </si>
  <si>
    <t>S &amp; P</t>
  </si>
  <si>
    <t>% LT Debt &amp; Pref Stock</t>
  </si>
  <si>
    <t>Baa1</t>
  </si>
  <si>
    <t>Baa2</t>
  </si>
  <si>
    <t>BBB+</t>
  </si>
  <si>
    <t>BBB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</si>
  <si>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</si>
  <si>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</si>
  <si>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</si>
  <si>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</si>
  <si>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</si>
  <si>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</si>
  <si>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BBB-</t>
  </si>
  <si>
    <t>Book Value</t>
  </si>
  <si>
    <t>Shares Issued less Treasury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</si>
  <si>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</si>
  <si>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</si>
  <si>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</si>
  <si>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</si>
  <si>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</si>
  <si>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</si>
  <si>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</si>
  <si>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</si>
  <si>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</si>
  <si>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</si>
  <si>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</si>
  <si>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</si>
  <si>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</si>
  <si>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</si>
  <si>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</si>
  <si>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</si>
  <si>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</si>
  <si>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</si>
  <si>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</si>
  <si>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</si>
  <si>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</si>
  <si>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</si>
  <si>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</si>
  <si>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</si>
  <si>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</si>
  <si>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</si>
  <si>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</si>
  <si>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</si>
  <si>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</si>
  <si>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</si>
  <si>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</si>
  <si>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</si>
  <si>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</si>
  <si>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</si>
  <si>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</si>
  <si>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</si>
  <si>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</si>
  <si>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</si>
  <si>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</si>
  <si>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</si>
  <si>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</si>
  <si>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</si>
  <si>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</si>
  <si>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</si>
  <si>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</si>
  <si>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</si>
  <si>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</si>
  <si>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</si>
  <si>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</si>
  <si>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</si>
  <si>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</si>
  <si>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</si>
  <si>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</si>
  <si>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</si>
  <si>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</si>
  <si>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BETA SELECTION for CAPM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</si>
  <si>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</si>
  <si>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</si>
  <si>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</si>
  <si>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</si>
  <si>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</si>
  <si>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</si>
  <si>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</si>
  <si>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</si>
  <si>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</si>
  <si>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</si>
  <si>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</si>
  <si>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</si>
  <si>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</si>
  <si>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</si>
  <si>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</si>
  <si>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</si>
  <si>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</si>
  <si>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</si>
  <si>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</si>
  <si>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</si>
  <si>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</si>
  <si>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</si>
  <si>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</si>
  <si>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</si>
  <si>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</si>
  <si>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 xml:space="preserve">** Debt includes  LT Debt , Current portion of LT Debt, and Finance leases from 10K 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</si>
  <si>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</si>
  <si>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</si>
  <si>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</si>
  <si>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</si>
  <si>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</si>
  <si>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</si>
  <si>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</si>
  <si>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</si>
  <si>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</si>
  <si>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</si>
  <si>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</si>
  <si>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</si>
  <si>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</si>
  <si>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</si>
  <si>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</si>
  <si>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</si>
  <si>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</si>
  <si>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</si>
  <si>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AA-</t>
  </si>
  <si>
    <t>Earnings</t>
  </si>
  <si>
    <t>Equity</t>
  </si>
  <si>
    <t>Equity Rate</t>
  </si>
  <si>
    <t>(F+G)</t>
  </si>
  <si>
    <t>(F+H)</t>
  </si>
  <si>
    <t>Dividend Yield</t>
  </si>
  <si>
    <t xml:space="preserve">Projected Short Term </t>
  </si>
  <si>
    <t>DGM - Earnings Growth Rate &gt;</t>
  </si>
  <si>
    <t>DGM - Dividend Growth Rate &gt;</t>
  </si>
  <si>
    <t>Yield Equity Rate - DGM (Two-Stage)</t>
  </si>
  <si>
    <t>Stable</t>
  </si>
  <si>
    <t>Growth Rate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</si>
  <si>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</si>
  <si>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</si>
  <si>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</si>
  <si>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</si>
  <si>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</si>
  <si>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</si>
  <si>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</si>
  <si>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</si>
  <si>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>.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</si>
  <si>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</si>
  <si>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</si>
  <si>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</si>
  <si>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</si>
  <si>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</si>
  <si>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</si>
  <si>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</si>
  <si>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</si>
  <si>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</si>
  <si>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</si>
  <si>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</si>
  <si>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</si>
  <si>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</si>
  <si>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</si>
  <si>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</si>
  <si>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r>
      <t>Long Term Debt</t>
    </r>
    <r>
      <rPr>
        <b/>
        <sz val="10"/>
        <color theme="1"/>
        <rFont val="Microsoft GothicNeo"/>
        <family val="2"/>
        <charset val="129"/>
      </rPr>
      <t xml:space="preserve"> </t>
    </r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</si>
  <si>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</si>
  <si>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</si>
  <si>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</si>
  <si>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</si>
  <si>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</si>
  <si>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</si>
  <si>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</si>
  <si>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</si>
  <si>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</si>
  <si>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</si>
  <si>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</si>
  <si>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</si>
  <si>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</si>
  <si>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</si>
  <si>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</si>
  <si>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</si>
  <si>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</si>
  <si>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</si>
  <si>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</si>
  <si>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</si>
  <si>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</si>
  <si>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</si>
  <si>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</si>
  <si>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t>NOPAT CASH FLOW MULTIPLE &amp; EQUITY RATE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</si>
  <si>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</si>
  <si>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</si>
  <si>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</si>
  <si>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</si>
  <si>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</si>
  <si>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t>VL LT Projected NOI</t>
  </si>
  <si>
    <t>Indicated Rate of Debt &gt;</t>
  </si>
  <si>
    <t>Year End</t>
  </si>
  <si>
    <t>&amp; Finance Leases</t>
  </si>
  <si>
    <t>10K Income Statement</t>
  </si>
  <si>
    <t>10K Balance Sheet</t>
  </si>
  <si>
    <t>Indicated Rate of Equity Selected &gt;</t>
  </si>
  <si>
    <t>NOTE: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</si>
  <si>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</si>
  <si>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</si>
  <si>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</si>
  <si>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</si>
  <si>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</si>
  <si>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</si>
  <si>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</si>
  <si>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</si>
  <si>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</si>
  <si>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</si>
  <si>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</si>
  <si>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Evergy Inc</t>
  </si>
  <si>
    <t>EVRG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</si>
  <si>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</si>
  <si>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</si>
  <si>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</si>
  <si>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</si>
  <si>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</si>
  <si>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</si>
  <si>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</si>
  <si>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</si>
  <si>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</si>
  <si>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</si>
  <si>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</si>
  <si>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</si>
  <si>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</si>
  <si>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</si>
  <si>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</si>
  <si>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</si>
  <si>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</si>
  <si>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</si>
  <si>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</si>
  <si>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</si>
  <si>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</si>
  <si>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</si>
  <si>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</si>
  <si>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</si>
  <si>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</si>
  <si>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</si>
  <si>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</si>
  <si>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</si>
  <si>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</si>
  <si>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</si>
  <si>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</si>
  <si>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Market to Book Ratios - Obsolescence Measurement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</si>
  <si>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</si>
  <si>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</si>
  <si>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</si>
  <si>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</si>
  <si>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</si>
  <si>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</si>
  <si>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t>*** Market value of operating leases for all companies including the airlines and railroads</t>
  </si>
  <si>
    <t>Companies excluded from the study &gt;</t>
  </si>
  <si>
    <t>Companies added to the study &gt;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</si>
  <si>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</si>
  <si>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DY = Dividend Yield     See ValueLine</t>
  </si>
  <si>
    <t>G   = Average growth rate</t>
  </si>
  <si>
    <t>G1 = Short term growth estimate</t>
  </si>
  <si>
    <t>g   = Stable Growth - Nominal growth rate</t>
  </si>
  <si>
    <t>AAA</t>
  </si>
  <si>
    <t>AA+</t>
  </si>
  <si>
    <t>AA</t>
  </si>
  <si>
    <t>Obligations rated Aa are judged to be of high quality, with minimal risk.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</si>
  <si>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</si>
  <si>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</si>
  <si>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</si>
  <si>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</si>
  <si>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</si>
  <si>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</si>
  <si>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</si>
  <si>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</si>
  <si>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</si>
  <si>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</si>
  <si>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</si>
  <si>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Return on Shareholders Equity -- Annual net profit divided by year-end shareholders equity, expressed as a percentage.</t>
  </si>
  <si>
    <t>Retained to Common Equity -- Net profit less all common and preferred dividends divided by common equity including intangible assets, expressed as a percentage.  Also known as the plowback ratio.</t>
  </si>
  <si>
    <t>Aaa1</t>
  </si>
  <si>
    <t>AAA+</t>
  </si>
  <si>
    <t>Aaa2</t>
  </si>
  <si>
    <t>Aaa3</t>
  </si>
  <si>
    <t>AAA-</t>
  </si>
  <si>
    <t>Ca1</t>
  </si>
  <si>
    <t>CC+</t>
  </si>
  <si>
    <t>Ca2</t>
  </si>
  <si>
    <t>Ca3</t>
  </si>
  <si>
    <t>CC-</t>
  </si>
  <si>
    <t>GROSS REVENUE &amp; GROSS BOOK (EQUITY) MULTIPLES</t>
  </si>
  <si>
    <t>Gross Revenues</t>
  </si>
  <si>
    <t>Gross Book Value Equity</t>
  </si>
  <si>
    <t>Multiple *</t>
  </si>
  <si>
    <t>* This multiple is applicable to service type companies, or those with few assets.  These companies sell at prices related to their revenues.</t>
  </si>
  <si>
    <t>The higher the return on revenue the higher the price to revenue will be.</t>
  </si>
  <si>
    <t>** The book value, or common equity, per share is total owners' equity minus preferred stock divided by the number of common shares outstanding.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</si>
  <si>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</si>
  <si>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</si>
  <si>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Share</t>
  </si>
  <si>
    <t>NOPAT Earnings</t>
  </si>
  <si>
    <t>P/E Ratio - Long Term Projection NOPAT</t>
  </si>
  <si>
    <t>&amp; Op Leases</t>
  </si>
  <si>
    <t>CS+LTD +PS +OL</t>
  </si>
  <si>
    <t xml:space="preserve">For rate based companies, the maximum allowed  'rate of return' established by state regulators is not comparable (a mismatch) to the 'cost of equity' calculated above.   </t>
  </si>
  <si>
    <t>Dividend Growth = DY + DG</t>
  </si>
  <si>
    <t>Earnings Growth = DY + EG</t>
  </si>
  <si>
    <t>DY = Dividend Yield</t>
  </si>
  <si>
    <t>DG = Dividend Growth</t>
  </si>
  <si>
    <t>EG = Earnings Growth</t>
  </si>
  <si>
    <t>G = Projected Growth (Div. 5 Yr Growth Rate)</t>
  </si>
  <si>
    <t>G = Projected Growth (Earnings Per Share 5 Yr Growth Rate)</t>
  </si>
  <si>
    <t>Evergy Inc (EVRG) - provides electric service to customers in Kansas and Missouri via coal and nuclear power</t>
  </si>
  <si>
    <t>Companies for consideration as future adds to the study &gt;</t>
  </si>
  <si>
    <t>Black Hills (BKH) - a western company, provides gas service to 1.1 million customers in NE, IA, KS, CO, WY, &amp; AR.  Also provides electric service to 218K customers in CO, SD, WY, and MT.</t>
  </si>
  <si>
    <t>MGE Energy (MGEE) - Removed due to a lack of a ValueLine review sheet</t>
  </si>
  <si>
    <t>Per Share **</t>
  </si>
  <si>
    <t>AMEREN Corporation</t>
  </si>
  <si>
    <t>Common Total Equity excludes 'noncontrolling interests' equity value.</t>
  </si>
  <si>
    <t xml:space="preserve">Property, Plant &amp; Equipment includes CWIP, but should exclude intangibles and the associated amortization.  </t>
  </si>
  <si>
    <t xml:space="preserve">Guideline companies were selected from Electric (East &amp; Central) Value Line Industry groups. </t>
  </si>
  <si>
    <t xml:space="preserve">http://www.federalreserve.gov/Releases/H15/Current/ </t>
  </si>
  <si>
    <t>Projected 1 Yr</t>
  </si>
  <si>
    <t>Estimated 20-22 to 26-28</t>
  </si>
  <si>
    <t>Earnings Per Share Growth Rate</t>
  </si>
  <si>
    <t>Electric Utility - East</t>
  </si>
  <si>
    <t>Electric Utility - Cent</t>
  </si>
  <si>
    <t xml:space="preserve">Risk Free Rate (Rf) </t>
  </si>
  <si>
    <t xml:space="preserve">Yield Equity Rate - DGM (Dividend Growth) &amp; DGM (Earnings Growth)  -- Gordon Growth </t>
  </si>
  <si>
    <t>CAPM - Ex Ante, Three Stage - V1</t>
  </si>
  <si>
    <t>CAPM - Ex Ante, Three Stage - V2</t>
  </si>
  <si>
    <t>Empirical CAPM - Ex Ante, Three Stage - V1</t>
  </si>
  <si>
    <t>Empirical CAPM - Ex Ante, Three Stage - V2</t>
  </si>
  <si>
    <t>Mean</t>
  </si>
  <si>
    <t>A market to book ratio over one would be an indication of no obsolescence.</t>
  </si>
  <si>
    <t xml:space="preserve">S&amp;P Rating </t>
  </si>
  <si>
    <t>Electric Utilities</t>
  </si>
  <si>
    <t>http://pages.stern.nyu.edu/~adamodar/New_Home_Page/datacurrent.html</t>
  </si>
  <si>
    <t>https://www.richmondfed.org/research/national_economy/cfo_survey</t>
  </si>
  <si>
    <t>https://www.bvresources.com/products/faqs/cost-of-capital-professional</t>
  </si>
  <si>
    <t>CAPM - Ex Ante  Damodaran Net Cash Yield</t>
  </si>
  <si>
    <t>CAPM - Ex Ante  Damodaran NEP</t>
  </si>
  <si>
    <t>CAPM - Ex Ante  Damodaran 12 Mo Cash Yield</t>
  </si>
  <si>
    <t>Empirical CAPM - Ex Ante  Damodaran 12 Mo Cash Yield</t>
  </si>
  <si>
    <t>Empirical CAPM - Ex Ante  Damodaran Net Cash Yield</t>
  </si>
  <si>
    <t>Empirical CAPM - Ex Ante  Damodaran NEP</t>
  </si>
  <si>
    <t>Damodaran Implied ERP Ex Ante   Net Cash Yield (3)</t>
  </si>
  <si>
    <t>Damodaran Implied ERP Ex Ante   Norm. Earnings &amp; Payout (3)</t>
  </si>
  <si>
    <t>Damodaran Implied ERP Ex Ante   Trailing 12 mo Cash Yield (3)</t>
  </si>
  <si>
    <t>KROLL Ex Post  - ERP Historical (8)</t>
  </si>
  <si>
    <t>KROLL Ex Post - ERP Supply Side (8)</t>
  </si>
  <si>
    <t>KROLL Ex Ante - ERP Conditional (8)</t>
  </si>
  <si>
    <t xml:space="preserve">CAPM - KROLL Ex Post  - ERP Historical </t>
  </si>
  <si>
    <t xml:space="preserve">CAPM - KROLL Ex Post - ERP Supply Side </t>
  </si>
  <si>
    <t xml:space="preserve">CAPM - KROLL Ex Ante - ERP Conditional </t>
  </si>
  <si>
    <t xml:space="preserve">Empirical CAPM - KROLL Ex Post  - ERP Historical </t>
  </si>
  <si>
    <t xml:space="preserve">Empirical CAPM - KROLL Ex Post - ERP Supply Side </t>
  </si>
  <si>
    <t xml:space="preserve">Empirical CAPM - KROLL Ex Ante - ERP Conditional </t>
  </si>
  <si>
    <t>Damodaran Implied ERP Ex Ante   Avg CF Yield Last 10 Yrs (3)</t>
  </si>
  <si>
    <t>P. Fernandez, T. Garcia de Santos &amp; J.F.Acin  (5)</t>
  </si>
  <si>
    <t>Empirical CAPM - Ex Ante  Damodaran Avg CF Yield Last 10 Yrs</t>
  </si>
  <si>
    <t>CAPM - Ex Ante  Damodaran Avg CF Yield Last 10 Yrs</t>
  </si>
  <si>
    <t>The Southern Company</t>
  </si>
  <si>
    <t>Corporate                          December Avg</t>
  </si>
  <si>
    <t>Utility                                                December Avg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</si>
  <si>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</si>
  <si>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INFLATION (CPI) &amp; GROSS DOMESTIC PRODUCT (GDP)</t>
  </si>
  <si>
    <t>na</t>
  </si>
  <si>
    <t>Federal Reserve Bank of Philadelphia / Livingston Survey  Median (2a)</t>
  </si>
  <si>
    <t>Federal Reserve Bank of Philadelphia  /Survey of Professional Forecasters  Mean (2b)</t>
  </si>
  <si>
    <t xml:space="preserve">Congressional Budget Office Real Economic Projections (3)  </t>
  </si>
  <si>
    <t xml:space="preserve">Congressional Budget Office Real Economic Projections (3a)  </t>
  </si>
  <si>
    <t xml:space="preserve">Congressional Budget Office Real Economic Projections (3b)  </t>
  </si>
  <si>
    <t>The Trading Economics (4)</t>
  </si>
  <si>
    <t>The World Bank (5)</t>
  </si>
  <si>
    <t xml:space="preserve">Federal Reserve Bank "Long Term" Projection - Members &amp; Presidents opinion (6) </t>
  </si>
  <si>
    <t>The Federal Reserve Bank projects their "long-term" estimate of Change in US real GDP at 1.8%</t>
  </si>
  <si>
    <t xml:space="preserve">than the overall growth rate of the economy.”  Dr. Aswath Damodaran (n.d.) The Stable Growth Rate </t>
  </si>
  <si>
    <t>SOURCES:</t>
  </si>
  <si>
    <t>(1)  Federal Reserve Statistical Release</t>
  </si>
  <si>
    <t>(2) (2a)  Federal Reserve Bank of Philadelphia - The Livingston Survey</t>
  </si>
  <si>
    <t>(2b)  Federal Reserve Bank of Philadelphia - Survey of Professional Forecasters</t>
  </si>
  <si>
    <t>(3) (3a) (3b)  The Congressional Budget Office</t>
  </si>
  <si>
    <t>Budget and Economic Data | Congressional Budget Office</t>
  </si>
  <si>
    <t>https://www.cbo.gov/publication/60870</t>
  </si>
  <si>
    <t>(4) The Trading Economics</t>
  </si>
  <si>
    <t>https://tradingeconomics.com/united-states/full-year-gdp-growth</t>
  </si>
  <si>
    <t xml:space="preserve">(5) The World Bank </t>
  </si>
  <si>
    <t>World Bank Group Flagship Report, GlobalEconomic Prospects,  Page 4  Table 1.1 Real GDP</t>
  </si>
  <si>
    <t>http://www.worldbank.org/en/publication/global-economic-prospects</t>
  </si>
  <si>
    <t>(6) Board of Governors of the Federal Reserve System - Federal Reserve Bank Members &amp; Presidents Opinion</t>
  </si>
  <si>
    <t>RISK FREE RATE (Rf)</t>
  </si>
  <si>
    <t xml:space="preserve">10-year U.S. Treasury coupon bonds 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</si>
  <si>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20-year U.S. Treasury coupon bonds</t>
    </r>
  </si>
  <si>
    <t>30-year U.S. Treasury coupon bonds</t>
  </si>
  <si>
    <t>KDOR Selected Risk Free Rate (Rf) &gt;</t>
  </si>
  <si>
    <t>20-year U.S. Treasury coupon bonds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</si>
  <si>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30-year U.S. Treasury coupon bonds</t>
    </r>
  </si>
  <si>
    <t>(7) Aswath Damoodaran</t>
  </si>
  <si>
    <t>http://pages.stern.nyu.edu/~adamodar/</t>
  </si>
  <si>
    <t>Three Stage Ex Ante  Version 1  (1)</t>
  </si>
  <si>
    <t>Three Stage Ex Ante  Version 2   (2)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</si>
  <si>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</si>
  <si>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</si>
  <si>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Moody's Bond</t>
  </si>
  <si>
    <t>Moody's Rating</t>
  </si>
  <si>
    <t>DEBT RATE for Direct and Yield Approach</t>
  </si>
  <si>
    <t>2026 CAPITALIZATION RATE STUDY</t>
  </si>
  <si>
    <t>2026 Tax Year</t>
  </si>
  <si>
    <t>Vl Projected 2026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</si>
  <si>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</si>
  <si>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</si>
  <si>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Federal Reserve Statistical Release (January 2, 2026)  Treasury Constant Maturities, Nominal (1) :</t>
  </si>
  <si>
    <t>Value Line Investment Survey (January 10, 2026)  Selected Yields on Taxable U.S. Treasury Securities :</t>
  </si>
  <si>
    <t>Damodaran selected Risk-Free rate (January 1, 2026) (7) :</t>
  </si>
  <si>
    <t>KROLL Cost of Capital Navigator Risk-Free rate Ex Post  (January 1, 2026) :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</si>
  <si>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</si>
  <si>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</si>
  <si>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</si>
  <si>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</si>
  <si>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</si>
  <si>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>YEAR END 12/31/2025</t>
  </si>
  <si>
    <t>Dec. 31, 2025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</si>
  <si>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</si>
  <si>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</si>
  <si>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January 2025-2026</t>
  </si>
  <si>
    <t>https://www.federalreserve.gov/monetarypolicy/files/fomcprojtabl20251218.pd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</si>
  <si>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</si>
  <si>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</si>
  <si>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</si>
  <si>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</si>
  <si>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</si>
  <si>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</si>
  <si>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</si>
  <si>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</si>
  <si>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>Medium projection value from Dec. 10, 2025 report Table 1</t>
  </si>
  <si>
    <t>ALLETE (ALE) has been acquired by a partnership led by Canada Pension Plan Investment Board and Global Infrastructure Partners and is now a private company.</t>
  </si>
  <si>
    <t>NOPAT CASH FLOW MULTIPLE &amp; EQUITY RATE (LT 29-31 Yr Projected VL)</t>
  </si>
  <si>
    <t>Estimated 23-25 to 29-31</t>
  </si>
  <si>
    <t>Fernandez, P., Garcia D., &amp; Acin, J. F. (2025). Survey: Market Risk Pre</t>
  </si>
  <si>
    <t>Aswath Damoodaran</t>
  </si>
  <si>
    <t>Federal Reserve Statisitical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</si>
</sst>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0.000"/>
    <numFmt numFmtId="168" formatCode="_(* #,##0.000_);_(* \(#,##0.000\);_(* &quot;-&quot;??_);_(@_)"/>
    <numFmt numFmtId="169" formatCode="_(&quot;$&quot;* #,##0.0_);_(&quot;$&quot;* \(#,##0.0\);_(&quot;$&quot;* &quot;-&quot;??_);_(@_)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b/>
      <i/>
      <sz val="10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i/>
      <sz val="10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i/>
      <sz val="11"/>
      <color theme="1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sz val="18"/>
      <color rgb="FF0000CC"/>
      <name val="Microsoft GothicNeo"/>
      <family val="2"/>
      <charset val="129"/>
    </font>
    <font>
      <sz val="12"/>
      <color rgb="FF000000"/>
      <name val="Microsoft GothicNeo"/>
      <family val="2"/>
      <charset val="129"/>
    </font>
    <font>
      <sz val="11"/>
      <name val="Calibri"/>
      <family val="2"/>
      <scheme val="minor"/>
    </font>
    <font>
      <b/>
      <sz val="9"/>
      <name val="Microsoft GothicNeo"/>
      <family val="2"/>
      <charset val="129"/>
    </font>
    <font>
      <sz val="11"/>
      <color rgb="FF0000CC"/>
      <name val="Microsoft GothicNeo"/>
      <family val="2"/>
      <charset val="129"/>
    </font>
    <font>
      <sz val="11"/>
      <color theme="1"/>
      <name val="Cordia New"/>
      <family val="2"/>
      <charset val="222"/>
    </font>
    <font>
      <b/>
      <sz val="11"/>
      <color theme="1"/>
      <name val="Cordia New"/>
      <family val="2"/>
      <charset val="222"/>
    </font>
    <font>
      <sz val="10"/>
      <color indexed="81"/>
      <name val="Tahoma"/>
      <family val="2"/>
    </font>
    <font>
      <b/>
      <i/>
      <sz val="14"/>
      <name val="Microsoft GothicNeo"/>
      <family val="2"/>
      <charset val="129"/>
    </font>
    <font>
      <b/>
      <i/>
      <sz val="12"/>
      <name val="Microsoft GothicNeo"/>
      <family val="2"/>
      <charset val="129"/>
    </font>
    <font>
      <sz val="12"/>
      <color theme="1"/>
      <name val="Cordia New"/>
      <family val="2"/>
      <charset val="222"/>
    </font>
    <font>
      <u/>
      <sz val="12"/>
      <color rgb="FF0000CC"/>
      <name val="Microsoft GothicNeo"/>
      <family val="2"/>
      <charset val="129"/>
    </font>
    <font>
      <sz val="10"/>
      <name val="Cordia New"/>
      <family val="2"/>
      <charset val="222"/>
    </font>
    <font>
      <u/>
      <sz val="11"/>
      <color rgb="FF0000CC"/>
      <name val="Cordia New"/>
      <family val="2"/>
      <charset val="222"/>
    </font>
    <font>
      <sz val="10"/>
      <color theme="1"/>
      <name val="Cordia New"/>
      <family val="2"/>
      <charset val="222"/>
    </font>
    <font>
      <u/>
      <sz val="11"/>
      <color theme="10"/>
      <name val="Cordia New"/>
      <family val="2"/>
      <charset val="222"/>
    </font>
    <font>
      <sz val="11"/>
      <name val="Cordia New"/>
      <family val="2"/>
      <charset val="222"/>
    </font>
    <font>
      <sz val="9"/>
      <color rgb="FFC00000"/>
      <name val="Aptos"/>
      <family val="2"/>
    </font>
    <font>
      <b/>
      <sz val="14"/>
      <color theme="1"/>
      <name val="Microsoft GothicNeo Light"/>
      <family val="2"/>
      <charset val="129"/>
    </font>
    <font>
      <b/>
      <sz val="10"/>
      <color theme="1"/>
      <name val="Microsoft GothicNeo Light"/>
      <family val="2"/>
      <charset val="129"/>
    </font>
    <font>
      <b/>
      <sz val="7"/>
      <color theme="1"/>
      <name val="Microsoft GothicNeo Light"/>
      <family val="2"/>
      <charset val="129"/>
    </font>
    <font>
      <b/>
      <sz val="11"/>
      <color theme="1"/>
      <name val="Microsoft GothicNeo Light"/>
      <family val="2"/>
      <charset val="129"/>
    </font>
    <font>
      <sz val="22"/>
      <color rgb="FFFF0000"/>
      <name val="Microsoft GothicNeo"/>
      <family val="2"/>
      <charset val="129"/>
    </font>
    <font>
      <sz val="14"/>
      <name val="Microsoft GothicNeo"/>
      <family val="2"/>
      <charset val="129"/>
    </font>
    <font>
      <sz val="8"/>
      <name val="Calibri"/>
      <family val="2"/>
      <scheme val="minor"/>
    </font>
    <font>
      <b/>
      <sz val="12"/>
      <color rgb="FFA20000"/>
      <name val="Microsoft GothicNeo"/>
      <family val="2"/>
      <charset val="129"/>
    </font>
    <font>
      <sz val="12"/>
      <color rgb="FFA20000"/>
      <name val="Microsoft GothicNeo"/>
      <family val="2"/>
      <charset val="129"/>
    </font>
    <font>
      <sz val="11"/>
      <color rgb="FFA20000"/>
      <name val="Microsoft GothicNeo"/>
      <family val="2"/>
      <charset val="129"/>
    </font>
    <font>
      <b/>
      <sz val="11"/>
      <color rgb="FFA20000"/>
      <name val="Microsoft GothicNeo"/>
      <family val="2"/>
      <charset val="129"/>
    </font>
    <font>
      <b/>
      <sz val="11"/>
      <color theme="5"/>
      <name val="Microsoft GothicNeo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/>
  </cellStyleXfs>
  <cellXfs count="46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2" fillId="0" borderId="0" xfId="0" applyNumberFormat="1" applyFont="1"/>
    <xf numFmtId="0" fontId="18" fillId="0" borderId="0" xfId="0" applyFont="1"/>
    <xf numFmtId="167" fontId="15" fillId="2" borderId="0" xfId="0" applyNumberFormat="1" applyFont="1" applyFill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43" fontId="24" fillId="0" borderId="0" xfId="1" applyFont="1" applyAlignment="1">
      <alignment horizontal="right" vertical="center"/>
    </xf>
    <xf numFmtId="43" fontId="24" fillId="0" borderId="0" xfId="1" applyFont="1" applyFill="1" applyAlignment="1">
      <alignment horizontal="right" vertical="center"/>
    </xf>
    <xf numFmtId="43" fontId="23" fillId="0" borderId="0" xfId="1" applyFont="1" applyFill="1" applyAlignment="1">
      <alignment horizontal="right"/>
    </xf>
    <xf numFmtId="43" fontId="23" fillId="0" borderId="0" xfId="1" applyFont="1" applyFill="1" applyAlignment="1">
      <alignment horizontal="center"/>
    </xf>
    <xf numFmtId="43" fontId="23" fillId="0" borderId="0" xfId="1" applyFont="1" applyFill="1" applyAlignment="1">
      <alignment horizontal="center" vertical="center"/>
    </xf>
    <xf numFmtId="43" fontId="23" fillId="0" borderId="0" xfId="1" applyFont="1" applyFill="1" applyBorder="1" applyAlignment="1">
      <alignment horizontal="center" vertical="center"/>
    </xf>
    <xf numFmtId="43" fontId="23" fillId="0" borderId="0" xfId="1" applyFont="1" applyFill="1"/>
    <xf numFmtId="164" fontId="23" fillId="0" borderId="0" xfId="1" applyNumberFormat="1" applyFont="1" applyFill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16" xfId="0" applyFont="1" applyBorder="1"/>
    <xf numFmtId="0" fontId="21" fillId="0" borderId="2" xfId="0" applyFont="1" applyBorder="1"/>
    <xf numFmtId="0" fontId="30" fillId="0" borderId="0" xfId="0" applyFont="1"/>
    <xf numFmtId="0" fontId="26" fillId="0" borderId="0" xfId="0" applyFont="1" applyAlignment="1">
      <alignment horizontal="center"/>
    </xf>
    <xf numFmtId="0" fontId="31" fillId="0" borderId="2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3" fillId="0" borderId="2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5" fillId="0" borderId="2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23" fillId="0" borderId="0" xfId="0" applyFont="1"/>
    <xf numFmtId="166" fontId="24" fillId="0" borderId="0" xfId="1" applyNumberFormat="1" applyFont="1" applyFill="1" applyAlignment="1">
      <alignment horizontal="center"/>
    </xf>
    <xf numFmtId="166" fontId="24" fillId="0" borderId="0" xfId="1" applyNumberFormat="1" applyFont="1" applyFill="1"/>
    <xf numFmtId="0" fontId="23" fillId="0" borderId="4" xfId="0" applyFont="1" applyBorder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right"/>
    </xf>
    <xf numFmtId="10" fontId="23" fillId="0" borderId="0" xfId="2" applyNumberFormat="1" applyFont="1" applyFill="1" applyAlignment="1">
      <alignment horizontal="center" vertical="center"/>
    </xf>
    <xf numFmtId="10" fontId="23" fillId="0" borderId="0" xfId="2" applyNumberFormat="1" applyFont="1" applyFill="1" applyBorder="1" applyAlignment="1">
      <alignment horizontal="center" vertical="center"/>
    </xf>
    <xf numFmtId="10" fontId="24" fillId="0" borderId="0" xfId="2" applyNumberFormat="1" applyFont="1" applyAlignment="1">
      <alignment horizontal="right" vertical="center"/>
    </xf>
    <xf numFmtId="10" fontId="24" fillId="0" borderId="0" xfId="2" applyNumberFormat="1" applyFont="1" applyFill="1" applyAlignment="1">
      <alignment horizontal="center" vertical="center"/>
    </xf>
    <xf numFmtId="10" fontId="24" fillId="0" borderId="0" xfId="2" applyNumberFormat="1" applyFont="1" applyFill="1" applyAlignment="1">
      <alignment horizontal="right"/>
    </xf>
    <xf numFmtId="10" fontId="23" fillId="0" borderId="0" xfId="2" applyNumberFormat="1" applyFont="1" applyFill="1" applyAlignment="1">
      <alignment horizontal="right"/>
    </xf>
    <xf numFmtId="10" fontId="23" fillId="0" borderId="0" xfId="2" applyNumberFormat="1" applyFont="1" applyFill="1" applyAlignment="1">
      <alignment horizontal="center"/>
    </xf>
    <xf numFmtId="10" fontId="23" fillId="0" borderId="0" xfId="2" applyNumberFormat="1" applyFont="1" applyFill="1"/>
    <xf numFmtId="0" fontId="21" fillId="3" borderId="20" xfId="0" applyFont="1" applyFill="1" applyBorder="1" applyAlignment="1">
      <alignment horizontal="center"/>
    </xf>
    <xf numFmtId="0" fontId="21" fillId="3" borderId="22" xfId="0" applyFont="1" applyFill="1" applyBorder="1" applyAlignment="1">
      <alignment horizontal="center"/>
    </xf>
    <xf numFmtId="2" fontId="40" fillId="0" borderId="0" xfId="0" applyNumberFormat="1" applyFont="1" applyAlignment="1">
      <alignment horizontal="center"/>
    </xf>
    <xf numFmtId="164" fontId="40" fillId="0" borderId="0" xfId="1" applyNumberFormat="1" applyFont="1" applyAlignment="1"/>
    <xf numFmtId="2" fontId="24" fillId="0" borderId="0" xfId="0" applyNumberFormat="1" applyFont="1" applyAlignment="1">
      <alignment horizontal="center"/>
    </xf>
    <xf numFmtId="0" fontId="36" fillId="0" borderId="0" xfId="0" applyFont="1"/>
    <xf numFmtId="43" fontId="26" fillId="0" borderId="0" xfId="1" applyFont="1" applyFill="1"/>
    <xf numFmtId="2" fontId="40" fillId="0" borderId="4" xfId="0" applyNumberFormat="1" applyFont="1" applyBorder="1" applyAlignment="1">
      <alignment horizontal="center"/>
    </xf>
    <xf numFmtId="10" fontId="24" fillId="0" borderId="0" xfId="2" applyNumberFormat="1" applyFont="1" applyFill="1" applyAlignment="1">
      <alignment horizontal="center"/>
    </xf>
    <xf numFmtId="0" fontId="21" fillId="0" borderId="2" xfId="0" applyFont="1" applyBorder="1" applyAlignment="1">
      <alignment horizontal="center"/>
    </xf>
    <xf numFmtId="0" fontId="33" fillId="0" borderId="17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/>
    </xf>
    <xf numFmtId="0" fontId="21" fillId="0" borderId="4" xfId="0" applyFont="1" applyBorder="1"/>
    <xf numFmtId="2" fontId="23" fillId="0" borderId="0" xfId="0" applyNumberFormat="1" applyFont="1" applyAlignment="1">
      <alignment horizontal="right"/>
    </xf>
    <xf numFmtId="10" fontId="23" fillId="0" borderId="0" xfId="0" applyNumberFormat="1" applyFont="1"/>
    <xf numFmtId="0" fontId="41" fillId="0" borderId="0" xfId="0" applyFont="1" applyAlignment="1">
      <alignment horizontal="center"/>
    </xf>
    <xf numFmtId="0" fontId="42" fillId="0" borderId="0" xfId="0" applyFont="1"/>
    <xf numFmtId="0" fontId="43" fillId="0" borderId="17" xfId="0" applyFont="1" applyBorder="1" applyAlignment="1">
      <alignment horizontal="center"/>
    </xf>
    <xf numFmtId="0" fontId="38" fillId="0" borderId="0" xfId="0" applyFont="1" applyAlignment="1">
      <alignment horizontal="right"/>
    </xf>
    <xf numFmtId="0" fontId="30" fillId="0" borderId="0" xfId="0" applyFont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10" fontId="23" fillId="0" borderId="0" xfId="2" applyNumberFormat="1" applyFont="1"/>
    <xf numFmtId="10" fontId="23" fillId="0" borderId="0" xfId="1" applyNumberFormat="1" applyFont="1" applyFill="1"/>
    <xf numFmtId="10" fontId="45" fillId="0" borderId="0" xfId="2" applyNumberFormat="1" applyFont="1" applyFill="1" applyAlignment="1">
      <alignment horizontal="center"/>
    </xf>
    <xf numFmtId="164" fontId="23" fillId="0" borderId="0" xfId="1" applyNumberFormat="1" applyFont="1"/>
    <xf numFmtId="0" fontId="21" fillId="0" borderId="0" xfId="0" applyFont="1" applyAlignment="1">
      <alignment horizontal="left"/>
    </xf>
    <xf numFmtId="0" fontId="23" fillId="0" borderId="2" xfId="0" applyFont="1" applyBorder="1"/>
    <xf numFmtId="0" fontId="36" fillId="0" borderId="7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0" borderId="0" xfId="0" applyFont="1" applyAlignment="1">
      <alignment horizontal="center"/>
    </xf>
    <xf numFmtId="15" fontId="36" fillId="0" borderId="10" xfId="0" applyNumberFormat="1" applyFont="1" applyBorder="1" applyAlignment="1">
      <alignment horizontal="center"/>
    </xf>
    <xf numFmtId="15" fontId="36" fillId="0" borderId="0" xfId="0" applyNumberFormat="1" applyFont="1" applyAlignment="1">
      <alignment horizontal="center"/>
    </xf>
    <xf numFmtId="15" fontId="36" fillId="0" borderId="0" xfId="0" quotePrefix="1" applyNumberFormat="1" applyFont="1" applyAlignment="1">
      <alignment horizontal="center"/>
    </xf>
    <xf numFmtId="0" fontId="40" fillId="0" borderId="10" xfId="0" applyFont="1" applyBorder="1" applyAlignment="1">
      <alignment horizontal="center"/>
    </xf>
    <xf numFmtId="0" fontId="36" fillId="0" borderId="8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36" fillId="0" borderId="10" xfId="0" applyFont="1" applyBorder="1"/>
    <xf numFmtId="0" fontId="36" fillId="0" borderId="7" xfId="0" applyFont="1" applyBorder="1"/>
    <xf numFmtId="0" fontId="40" fillId="0" borderId="0" xfId="0" applyFont="1" applyAlignment="1">
      <alignment horizontal="center"/>
    </xf>
    <xf numFmtId="2" fontId="40" fillId="0" borderId="10" xfId="0" applyNumberFormat="1" applyFont="1" applyBorder="1" applyAlignment="1">
      <alignment horizontal="center"/>
    </xf>
    <xf numFmtId="0" fontId="40" fillId="0" borderId="7" xfId="0" applyFont="1" applyBorder="1"/>
    <xf numFmtId="0" fontId="36" fillId="0" borderId="8" xfId="0" applyFont="1" applyBorder="1"/>
    <xf numFmtId="2" fontId="40" fillId="0" borderId="3" xfId="0" applyNumberFormat="1" applyFont="1" applyBorder="1" applyAlignment="1">
      <alignment horizontal="center"/>
    </xf>
    <xf numFmtId="3" fontId="40" fillId="0" borderId="2" xfId="0" applyNumberFormat="1" applyFont="1" applyBorder="1"/>
    <xf numFmtId="0" fontId="39" fillId="0" borderId="0" xfId="0" applyFont="1"/>
    <xf numFmtId="0" fontId="39" fillId="0" borderId="2" xfId="0" applyFont="1" applyBorder="1"/>
    <xf numFmtId="0" fontId="39" fillId="0" borderId="5" xfId="0" applyFont="1" applyBorder="1"/>
    <xf numFmtId="0" fontId="39" fillId="0" borderId="6" xfId="0" applyFont="1" applyBorder="1"/>
    <xf numFmtId="0" fontId="21" fillId="0" borderId="6" xfId="0" applyFont="1" applyBorder="1"/>
    <xf numFmtId="0" fontId="36" fillId="0" borderId="14" xfId="0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36" fillId="0" borderId="0" xfId="0" applyFont="1" applyAlignment="1">
      <alignment horizontal="right"/>
    </xf>
    <xf numFmtId="164" fontId="23" fillId="0" borderId="0" xfId="0" applyNumberFormat="1" applyFont="1"/>
    <xf numFmtId="10" fontId="36" fillId="0" borderId="0" xfId="0" applyNumberFormat="1" applyFont="1" applyAlignment="1">
      <alignment horizontal="right"/>
    </xf>
    <xf numFmtId="10" fontId="36" fillId="0" borderId="0" xfId="2" applyNumberFormat="1" applyFont="1" applyFill="1"/>
    <xf numFmtId="10" fontId="36" fillId="0" borderId="0" xfId="2" applyNumberFormat="1" applyFont="1"/>
    <xf numFmtId="2" fontId="21" fillId="0" borderId="0" xfId="0" applyNumberFormat="1" applyFont="1"/>
    <xf numFmtId="0" fontId="23" fillId="0" borderId="1" xfId="0" applyFont="1" applyBorder="1" applyAlignment="1">
      <alignment horizontal="center"/>
    </xf>
    <xf numFmtId="0" fontId="30" fillId="0" borderId="0" xfId="0" applyFont="1" applyAlignment="1">
      <alignment horizontal="right"/>
    </xf>
    <xf numFmtId="0" fontId="24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165" fontId="23" fillId="0" borderId="0" xfId="3" applyNumberFormat="1" applyFont="1" applyFill="1" applyAlignment="1">
      <alignment horizontal="center"/>
    </xf>
    <xf numFmtId="164" fontId="24" fillId="0" borderId="0" xfId="1" applyNumberFormat="1" applyFont="1" applyFill="1"/>
    <xf numFmtId="10" fontId="24" fillId="0" borderId="0" xfId="2" applyNumberFormat="1" applyFont="1" applyFill="1"/>
    <xf numFmtId="0" fontId="30" fillId="0" borderId="2" xfId="0" applyFont="1" applyBorder="1" applyAlignment="1">
      <alignment horizontal="center"/>
    </xf>
    <xf numFmtId="10" fontId="40" fillId="0" borderId="0" xfId="2" applyNumberFormat="1" applyFont="1" applyFill="1" applyAlignment="1">
      <alignment horizontal="center"/>
    </xf>
    <xf numFmtId="10" fontId="40" fillId="0" borderId="0" xfId="2" applyNumberFormat="1" applyFont="1" applyFill="1"/>
    <xf numFmtId="2" fontId="36" fillId="0" borderId="2" xfId="0" applyNumberFormat="1" applyFont="1" applyBorder="1" applyAlignment="1">
      <alignment horizontal="center"/>
    </xf>
    <xf numFmtId="10" fontId="36" fillId="0" borderId="2" xfId="2" applyNumberFormat="1" applyFont="1" applyBorder="1"/>
    <xf numFmtId="10" fontId="36" fillId="0" borderId="0" xfId="0" applyNumberFormat="1" applyFont="1" applyAlignment="1">
      <alignment horizontal="center"/>
    </xf>
    <xf numFmtId="2" fontId="36" fillId="0" borderId="0" xfId="0" applyNumberFormat="1" applyFont="1" applyAlignment="1">
      <alignment horizontal="center"/>
    </xf>
    <xf numFmtId="0" fontId="40" fillId="0" borderId="0" xfId="0" applyFont="1"/>
    <xf numFmtId="0" fontId="36" fillId="0" borderId="0" xfId="0" applyFont="1" applyAlignment="1">
      <alignment horizontal="left"/>
    </xf>
    <xf numFmtId="10" fontId="24" fillId="0" borderId="4" xfId="2" applyNumberFormat="1" applyFont="1" applyFill="1" applyBorder="1" applyAlignment="1">
      <alignment horizontal="center"/>
    </xf>
    <xf numFmtId="10" fontId="21" fillId="0" borderId="0" xfId="0" applyNumberFormat="1" applyFont="1"/>
    <xf numFmtId="0" fontId="20" fillId="0" borderId="0" xfId="6"/>
    <xf numFmtId="0" fontId="50" fillId="0" borderId="2" xfId="0" applyFont="1" applyBorder="1"/>
    <xf numFmtId="0" fontId="0" fillId="0" borderId="2" xfId="0" applyBorder="1"/>
    <xf numFmtId="0" fontId="30" fillId="0" borderId="2" xfId="0" applyFont="1" applyBorder="1"/>
    <xf numFmtId="0" fontId="21" fillId="0" borderId="5" xfId="0" applyFont="1" applyBorder="1"/>
    <xf numFmtId="0" fontId="21" fillId="0" borderId="12" xfId="0" applyFont="1" applyBorder="1"/>
    <xf numFmtId="0" fontId="23" fillId="0" borderId="8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51" fillId="0" borderId="0" xfId="0" applyFont="1"/>
    <xf numFmtId="0" fontId="30" fillId="0" borderId="7" xfId="0" applyFont="1" applyBorder="1" applyAlignment="1">
      <alignment horizontal="center" vertical="center"/>
    </xf>
    <xf numFmtId="10" fontId="30" fillId="0" borderId="2" xfId="2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50" fillId="0" borderId="33" xfId="0" applyFont="1" applyBorder="1"/>
    <xf numFmtId="0" fontId="36" fillId="0" borderId="31" xfId="0" applyFont="1" applyBorder="1"/>
    <xf numFmtId="0" fontId="36" fillId="0" borderId="20" xfId="0" applyFont="1" applyBorder="1"/>
    <xf numFmtId="0" fontId="36" fillId="0" borderId="1" xfId="0" applyFont="1" applyBorder="1"/>
    <xf numFmtId="10" fontId="40" fillId="0" borderId="0" xfId="2" applyNumberFormat="1" applyFont="1" applyAlignment="1">
      <alignment horizontal="right" vertical="center"/>
    </xf>
    <xf numFmtId="10" fontId="36" fillId="0" borderId="0" xfId="2" applyNumberFormat="1" applyFont="1" applyFill="1" applyAlignment="1">
      <alignment horizontal="right"/>
    </xf>
    <xf numFmtId="43" fontId="36" fillId="0" borderId="0" xfId="1" applyFont="1" applyFill="1" applyAlignment="1">
      <alignment horizontal="right"/>
    </xf>
    <xf numFmtId="43" fontId="36" fillId="0" borderId="0" xfId="1" applyFont="1" applyFill="1"/>
    <xf numFmtId="0" fontId="36" fillId="0" borderId="0" xfId="0" applyFont="1" applyAlignment="1">
      <alignment horizontal="center" vertical="center"/>
    </xf>
    <xf numFmtId="44" fontId="40" fillId="0" borderId="0" xfId="3" applyFont="1" applyAlignment="1">
      <alignment horizontal="center"/>
    </xf>
    <xf numFmtId="0" fontId="23" fillId="0" borderId="0" xfId="0" applyFont="1" applyAlignment="1">
      <alignment horizontal="right" vertical="center"/>
    </xf>
    <xf numFmtId="0" fontId="46" fillId="0" borderId="0" xfId="0" applyFont="1"/>
    <xf numFmtId="0" fontId="0" fillId="0" borderId="34" xfId="0" applyBorder="1"/>
    <xf numFmtId="10" fontId="40" fillId="0" borderId="16" xfId="2" applyNumberFormat="1" applyFont="1" applyFill="1" applyBorder="1"/>
    <xf numFmtId="0" fontId="21" fillId="0" borderId="32" xfId="0" applyFont="1" applyBorder="1"/>
    <xf numFmtId="0" fontId="26" fillId="0" borderId="34" xfId="0" applyFont="1" applyBorder="1" applyAlignment="1">
      <alignment horizontal="right"/>
    </xf>
    <xf numFmtId="0" fontId="25" fillId="0" borderId="32" xfId="0" applyFont="1" applyBorder="1"/>
    <xf numFmtId="0" fontId="25" fillId="0" borderId="34" xfId="0" applyFont="1" applyBorder="1" applyAlignment="1">
      <alignment horizontal="right"/>
    </xf>
    <xf numFmtId="0" fontId="25" fillId="0" borderId="34" xfId="0" applyFont="1" applyBorder="1"/>
    <xf numFmtId="0" fontId="21" fillId="0" borderId="34" xfId="0" applyFont="1" applyBorder="1"/>
    <xf numFmtId="0" fontId="36" fillId="0" borderId="7" xfId="0" applyFont="1" applyBorder="1" applyAlignment="1">
      <alignment horizontal="center" vertical="center"/>
    </xf>
    <xf numFmtId="10" fontId="36" fillId="0" borderId="0" xfId="2" applyNumberFormat="1" applyFont="1" applyBorder="1" applyAlignment="1">
      <alignment horizontal="center" vertical="center"/>
    </xf>
    <xf numFmtId="10" fontId="36" fillId="0" borderId="13" xfId="2" applyNumberFormat="1" applyFont="1" applyBorder="1" applyAlignment="1">
      <alignment horizontal="center" vertical="center"/>
    </xf>
    <xf numFmtId="0" fontId="39" fillId="0" borderId="7" xfId="0" applyFont="1" applyBorder="1"/>
    <xf numFmtId="0" fontId="39" fillId="0" borderId="13" xfId="0" applyFont="1" applyBorder="1"/>
    <xf numFmtId="0" fontId="26" fillId="0" borderId="16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6" fillId="0" borderId="16" xfId="0" applyFont="1" applyBorder="1" applyAlignment="1">
      <alignment horizontal="right"/>
    </xf>
    <xf numFmtId="2" fontId="36" fillId="0" borderId="16" xfId="0" applyNumberFormat="1" applyFont="1" applyBorder="1" applyAlignment="1">
      <alignment horizontal="center"/>
    </xf>
    <xf numFmtId="43" fontId="36" fillId="0" borderId="0" xfId="1" applyFont="1" applyBorder="1" applyAlignment="1">
      <alignment horizontal="center" vertical="center"/>
    </xf>
    <xf numFmtId="43" fontId="36" fillId="0" borderId="0" xfId="1" applyFont="1" applyBorder="1" applyAlignment="1">
      <alignment vertical="center"/>
    </xf>
    <xf numFmtId="10" fontId="36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6" fillId="0" borderId="0" xfId="2" applyNumberFormat="1" applyFont="1" applyFill="1" applyBorder="1" applyAlignment="1">
      <alignment horizontal="center" vertical="center"/>
    </xf>
    <xf numFmtId="0" fontId="36" fillId="0" borderId="30" xfId="0" applyFont="1" applyBorder="1"/>
    <xf numFmtId="0" fontId="36" fillId="0" borderId="21" xfId="0" applyFont="1" applyBorder="1"/>
    <xf numFmtId="0" fontId="36" fillId="0" borderId="23" xfId="0" applyFont="1" applyBorder="1"/>
    <xf numFmtId="10" fontId="40" fillId="3" borderId="26" xfId="2" applyNumberFormat="1" applyFont="1" applyFill="1" applyBorder="1" applyAlignment="1">
      <alignment horizontal="center"/>
    </xf>
    <xf numFmtId="0" fontId="21" fillId="0" borderId="24" xfId="0" applyFont="1" applyBorder="1"/>
    <xf numFmtId="10" fontId="30" fillId="0" borderId="3" xfId="2" applyNumberFormat="1" applyFont="1" applyBorder="1" applyAlignment="1">
      <alignment horizontal="center" vertical="center"/>
    </xf>
    <xf numFmtId="164" fontId="23" fillId="0" borderId="0" xfId="1" applyNumberFormat="1" applyFont="1" applyFill="1" applyAlignment="1">
      <alignment horizontal="center"/>
    </xf>
    <xf numFmtId="164" fontId="23" fillId="0" borderId="0" xfId="1" applyNumberFormat="1" applyFont="1" applyFill="1" applyAlignment="1"/>
    <xf numFmtId="2" fontId="26" fillId="0" borderId="16" xfId="0" applyNumberFormat="1" applyFont="1" applyBorder="1" applyAlignment="1">
      <alignment horizontal="center" vertical="center"/>
    </xf>
    <xf numFmtId="10" fontId="26" fillId="0" borderId="16" xfId="2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right" vertical="center"/>
    </xf>
    <xf numFmtId="0" fontId="32" fillId="0" borderId="17" xfId="0" applyFont="1" applyBorder="1" applyAlignment="1">
      <alignment horizontal="center"/>
    </xf>
    <xf numFmtId="10" fontId="23" fillId="0" borderId="0" xfId="0" applyNumberFormat="1" applyFont="1" applyAlignment="1">
      <alignment horizontal="center"/>
    </xf>
    <xf numFmtId="0" fontId="23" fillId="0" borderId="2" xfId="0" quotePrefix="1" applyFont="1" applyBorder="1" applyAlignment="1">
      <alignment horizontal="center"/>
    </xf>
    <xf numFmtId="0" fontId="6" fillId="0" borderId="0" xfId="0" applyFont="1"/>
    <xf numFmtId="0" fontId="53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54" fillId="0" borderId="0" xfId="0" applyFont="1"/>
    <xf numFmtId="0" fontId="39" fillId="0" borderId="0" xfId="0" applyFont="1" applyAlignment="1">
      <alignment horizontal="right"/>
    </xf>
    <xf numFmtId="0" fontId="39" fillId="0" borderId="2" xfId="0" applyFont="1" applyBorder="1" applyAlignment="1">
      <alignment horizontal="center"/>
    </xf>
    <xf numFmtId="0" fontId="52" fillId="0" borderId="0" xfId="0" applyFont="1"/>
    <xf numFmtId="10" fontId="30" fillId="0" borderId="10" xfId="2" applyNumberFormat="1" applyFont="1" applyFill="1" applyBorder="1" applyAlignment="1">
      <alignment horizontal="center" vertical="center"/>
    </xf>
    <xf numFmtId="168" fontId="40" fillId="0" borderId="16" xfId="1" applyNumberFormat="1" applyFont="1" applyFill="1" applyBorder="1"/>
    <xf numFmtId="15" fontId="36" fillId="0" borderId="24" xfId="0" applyNumberFormat="1" applyFont="1" applyBorder="1" applyAlignment="1">
      <alignment horizontal="center"/>
    </xf>
    <xf numFmtId="15" fontId="36" fillId="0" borderId="12" xfId="0" applyNumberFormat="1" applyFont="1" applyBorder="1" applyAlignment="1">
      <alignment horizontal="center"/>
    </xf>
    <xf numFmtId="15" fontId="36" fillId="0" borderId="13" xfId="0" applyNumberFormat="1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0" fillId="0" borderId="1" xfId="0" applyBorder="1"/>
    <xf numFmtId="0" fontId="36" fillId="0" borderId="1" xfId="0" applyFont="1" applyBorder="1" applyAlignment="1">
      <alignment horizontal="center"/>
    </xf>
    <xf numFmtId="10" fontId="40" fillId="0" borderId="1" xfId="2" applyNumberFormat="1" applyFont="1" applyFill="1" applyBorder="1" applyAlignment="1">
      <alignment horizontal="center"/>
    </xf>
    <xf numFmtId="43" fontId="40" fillId="0" borderId="1" xfId="1" applyFont="1" applyFill="1" applyBorder="1" applyAlignment="1">
      <alignment horizontal="center"/>
    </xf>
    <xf numFmtId="43" fontId="40" fillId="0" borderId="0" xfId="1" applyFont="1" applyAlignment="1">
      <alignment horizontal="center"/>
    </xf>
    <xf numFmtId="43" fontId="40" fillId="0" borderId="0" xfId="1" applyFont="1" applyFill="1" applyAlignment="1">
      <alignment horizontal="center"/>
    </xf>
    <xf numFmtId="0" fontId="51" fillId="0" borderId="0" xfId="0" applyFont="1" applyAlignment="1">
      <alignment horizontal="right"/>
    </xf>
    <xf numFmtId="2" fontId="51" fillId="0" borderId="0" xfId="0" applyNumberFormat="1" applyFont="1"/>
    <xf numFmtId="0" fontId="36" fillId="0" borderId="5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164" fontId="40" fillId="0" borderId="10" xfId="1" applyNumberFormat="1" applyFont="1" applyFill="1" applyBorder="1" applyAlignment="1">
      <alignment horizontal="center"/>
    </xf>
    <xf numFmtId="164" fontId="40" fillId="0" borderId="3" xfId="1" applyNumberFormat="1" applyFont="1" applyFill="1" applyBorder="1" applyAlignment="1">
      <alignment horizontal="center"/>
    </xf>
    <xf numFmtId="164" fontId="40" fillId="0" borderId="13" xfId="1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10" fontId="40" fillId="0" borderId="0" xfId="2" applyNumberFormat="1" applyFont="1" applyFill="1" applyBorder="1" applyAlignment="1">
      <alignment horizontal="center"/>
    </xf>
    <xf numFmtId="10" fontId="40" fillId="0" borderId="0" xfId="2" applyNumberFormat="1" applyFont="1" applyBorder="1" applyAlignment="1">
      <alignment horizontal="center" vertical="center"/>
    </xf>
    <xf numFmtId="10" fontId="30" fillId="0" borderId="3" xfId="2" applyNumberFormat="1" applyFont="1" applyFill="1" applyBorder="1" applyAlignment="1">
      <alignment horizontal="center" vertical="center"/>
    </xf>
    <xf numFmtId="0" fontId="30" fillId="0" borderId="32" xfId="0" applyFont="1" applyBorder="1"/>
    <xf numFmtId="0" fontId="21" fillId="0" borderId="33" xfId="0" applyFont="1" applyBorder="1"/>
    <xf numFmtId="0" fontId="36" fillId="0" borderId="32" xfId="0" applyFont="1" applyBorder="1"/>
    <xf numFmtId="0" fontId="36" fillId="0" borderId="34" xfId="0" applyFont="1" applyBorder="1"/>
    <xf numFmtId="0" fontId="57" fillId="0" borderId="0" xfId="0" applyFont="1"/>
    <xf numFmtId="0" fontId="36" fillId="4" borderId="20" xfId="0" applyFont="1" applyFill="1" applyBorder="1"/>
    <xf numFmtId="0" fontId="36" fillId="0" borderId="32" xfId="0" applyFont="1" applyBorder="1" applyAlignment="1">
      <alignment horizontal="right"/>
    </xf>
    <xf numFmtId="2" fontId="36" fillId="0" borderId="34" xfId="0" applyNumberFormat="1" applyFont="1" applyBorder="1"/>
    <xf numFmtId="43" fontId="36" fillId="0" borderId="0" xfId="0" applyNumberFormat="1" applyFont="1"/>
    <xf numFmtId="0" fontId="37" fillId="0" borderId="35" xfId="0" applyFont="1" applyBorder="1" applyAlignment="1">
      <alignment horizontal="center"/>
    </xf>
    <xf numFmtId="0" fontId="37" fillId="0" borderId="36" xfId="0" applyFont="1" applyBorder="1" applyAlignment="1">
      <alignment horizontal="center"/>
    </xf>
    <xf numFmtId="0" fontId="37" fillId="0" borderId="37" xfId="0" applyFont="1" applyBorder="1" applyAlignment="1">
      <alignment horizontal="center"/>
    </xf>
    <xf numFmtId="0" fontId="58" fillId="0" borderId="0" xfId="0" applyFont="1" applyAlignment="1">
      <alignment horizontal="left" vertical="top" wrapText="1"/>
    </xf>
    <xf numFmtId="0" fontId="30" fillId="0" borderId="28" xfId="0" applyFont="1" applyBorder="1" applyAlignment="1">
      <alignment horizontal="center"/>
    </xf>
    <xf numFmtId="0" fontId="39" fillId="3" borderId="26" xfId="0" applyFont="1" applyFill="1" applyBorder="1" applyAlignment="1">
      <alignment horizontal="center"/>
    </xf>
    <xf numFmtId="0" fontId="21" fillId="3" borderId="26" xfId="0" applyFont="1" applyFill="1" applyBorder="1" applyAlignment="1">
      <alignment horizontal="center"/>
    </xf>
    <xf numFmtId="0" fontId="39" fillId="3" borderId="27" xfId="0" applyFont="1" applyFill="1" applyBorder="1" applyAlignment="1">
      <alignment horizontal="center"/>
    </xf>
    <xf numFmtId="0" fontId="21" fillId="3" borderId="27" xfId="0" applyFont="1" applyFill="1" applyBorder="1" applyAlignment="1">
      <alignment horizontal="center"/>
    </xf>
    <xf numFmtId="0" fontId="21" fillId="3" borderId="29" xfId="0" applyFont="1" applyFill="1" applyBorder="1" applyAlignment="1">
      <alignment horizontal="center"/>
    </xf>
    <xf numFmtId="0" fontId="39" fillId="3" borderId="25" xfId="0" applyFont="1" applyFill="1" applyBorder="1" applyAlignment="1">
      <alignment horizontal="center"/>
    </xf>
    <xf numFmtId="0" fontId="21" fillId="3" borderId="30" xfId="0" applyFont="1" applyFill="1" applyBorder="1" applyAlignment="1">
      <alignment horizontal="center"/>
    </xf>
    <xf numFmtId="0" fontId="21" fillId="3" borderId="21" xfId="0" applyFont="1" applyFill="1" applyBorder="1" applyAlignment="1">
      <alignment horizontal="center"/>
    </xf>
    <xf numFmtId="0" fontId="21" fillId="3" borderId="23" xfId="0" applyFont="1" applyFill="1" applyBorder="1" applyAlignment="1">
      <alignment horizontal="center"/>
    </xf>
    <xf numFmtId="164" fontId="24" fillId="0" borderId="0" xfId="1" applyNumberFormat="1" applyFont="1" applyFill="1" applyAlignment="1">
      <alignment horizontal="center"/>
    </xf>
    <xf numFmtId="0" fontId="0" fillId="0" borderId="4" xfId="0" applyBorder="1"/>
    <xf numFmtId="0" fontId="0" fillId="0" borderId="33" xfId="0" applyBorder="1"/>
    <xf numFmtId="0" fontId="23" fillId="0" borderId="1" xfId="0" applyFont="1" applyBorder="1" applyAlignment="1">
      <alignment horizontal="right"/>
    </xf>
    <xf numFmtId="164" fontId="24" fillId="0" borderId="1" xfId="1" applyNumberFormat="1" applyFont="1" applyFill="1" applyBorder="1" applyAlignment="1">
      <alignment horizontal="center"/>
    </xf>
    <xf numFmtId="10" fontId="24" fillId="0" borderId="1" xfId="2" applyNumberFormat="1" applyFont="1" applyFill="1" applyBorder="1" applyAlignment="1">
      <alignment horizontal="center" vertical="center"/>
    </xf>
    <xf numFmtId="1" fontId="24" fillId="0" borderId="0" xfId="0" applyNumberFormat="1" applyFont="1" applyAlignment="1">
      <alignment horizontal="center"/>
    </xf>
    <xf numFmtId="0" fontId="36" fillId="0" borderId="4" xfId="0" applyFont="1" applyBorder="1" applyAlignment="1">
      <alignment horizontal="center"/>
    </xf>
    <xf numFmtId="10" fontId="40" fillId="0" borderId="4" xfId="2" applyNumberFormat="1" applyFont="1" applyFill="1" applyBorder="1"/>
    <xf numFmtId="10" fontId="40" fillId="0" borderId="4" xfId="2" applyNumberFormat="1" applyFont="1" applyFill="1" applyBorder="1" applyAlignment="1">
      <alignment horizontal="center"/>
    </xf>
    <xf numFmtId="43" fontId="40" fillId="0" borderId="0" xfId="1" applyFont="1" applyFill="1" applyAlignment="1">
      <alignment horizontal="right" vertical="center"/>
    </xf>
    <xf numFmtId="44" fontId="24" fillId="0" borderId="0" xfId="3" applyFont="1" applyFill="1" applyAlignment="1">
      <alignment horizontal="center"/>
    </xf>
    <xf numFmtId="10" fontId="24" fillId="0" borderId="0" xfId="2" applyNumberFormat="1" applyFont="1" applyFill="1" applyAlignment="1">
      <alignment horizontal="right" vertical="center"/>
    </xf>
    <xf numFmtId="10" fontId="24" fillId="0" borderId="1" xfId="2" applyNumberFormat="1" applyFont="1" applyFill="1" applyBorder="1" applyAlignment="1">
      <alignment horizontal="right" vertical="center"/>
    </xf>
    <xf numFmtId="10" fontId="24" fillId="0" borderId="0" xfId="0" applyNumberFormat="1" applyFont="1" applyAlignment="1">
      <alignment horizontal="center"/>
    </xf>
    <xf numFmtId="43" fontId="26" fillId="0" borderId="16" xfId="1" applyFont="1" applyFill="1" applyBorder="1" applyAlignment="1">
      <alignment horizontal="center" vertical="center"/>
    </xf>
    <xf numFmtId="43" fontId="24" fillId="0" borderId="1" xfId="1" applyFont="1" applyFill="1" applyBorder="1" applyAlignment="1">
      <alignment horizontal="right" vertical="center"/>
    </xf>
    <xf numFmtId="2" fontId="40" fillId="0" borderId="2" xfId="0" applyNumberFormat="1" applyFont="1" applyBorder="1" applyAlignment="1">
      <alignment horizontal="center"/>
    </xf>
    <xf numFmtId="3" fontId="40" fillId="0" borderId="10" xfId="0" applyNumberFormat="1" applyFont="1" applyBorder="1"/>
    <xf numFmtId="165" fontId="24" fillId="0" borderId="0" xfId="3" applyNumberFormat="1" applyFont="1" applyFill="1" applyAlignment="1">
      <alignment horizontal="right"/>
    </xf>
    <xf numFmtId="164" fontId="40" fillId="0" borderId="14" xfId="1" applyNumberFormat="1" applyFont="1" applyFill="1" applyBorder="1" applyAlignment="1">
      <alignment horizontal="center"/>
    </xf>
    <xf numFmtId="3" fontId="40" fillId="0" borderId="3" xfId="0" applyNumberFormat="1" applyFont="1" applyBorder="1"/>
    <xf numFmtId="169" fontId="21" fillId="0" borderId="0" xfId="0" applyNumberFormat="1" applyFont="1"/>
    <xf numFmtId="3" fontId="40" fillId="0" borderId="0" xfId="0" applyNumberFormat="1" applyFont="1"/>
    <xf numFmtId="0" fontId="40" fillId="0" borderId="0" xfId="0" applyFont="1" applyAlignment="1">
      <alignment horizontal="left" vertical="center"/>
    </xf>
    <xf numFmtId="2" fontId="24" fillId="0" borderId="0" xfId="0" applyNumberFormat="1" applyFont="1" applyAlignment="1">
      <alignment horizontal="right" vertical="center"/>
    </xf>
    <xf numFmtId="0" fontId="36" fillId="0" borderId="1" xfId="0" applyFont="1" applyBorder="1" applyAlignment="1">
      <alignment horizontal="right"/>
    </xf>
    <xf numFmtId="10" fontId="36" fillId="0" borderId="1" xfId="2" applyNumberFormat="1" applyFont="1" applyBorder="1"/>
    <xf numFmtId="2" fontId="24" fillId="0" borderId="1" xfId="0" applyNumberFormat="1" applyFont="1" applyBorder="1" applyAlignment="1">
      <alignment horizontal="right" vertical="center"/>
    </xf>
    <xf numFmtId="10" fontId="30" fillId="0" borderId="0" xfId="2" applyNumberFormat="1" applyFont="1" applyFill="1" applyBorder="1" applyAlignment="1">
      <alignment horizontal="center" vertical="center"/>
    </xf>
    <xf numFmtId="0" fontId="21" fillId="0" borderId="21" xfId="0" applyFont="1" applyBorder="1"/>
    <xf numFmtId="0" fontId="21" fillId="0" borderId="23" xfId="0" applyFont="1" applyBorder="1"/>
    <xf numFmtId="0" fontId="38" fillId="0" borderId="28" xfId="0" applyFont="1" applyBorder="1"/>
    <xf numFmtId="10" fontId="38" fillId="0" borderId="28" xfId="2" applyNumberFormat="1" applyFont="1" applyFill="1" applyBorder="1"/>
    <xf numFmtId="2" fontId="38" fillId="0" borderId="28" xfId="0" applyNumberFormat="1" applyFont="1" applyBorder="1"/>
    <xf numFmtId="2" fontId="26" fillId="0" borderId="0" xfId="0" applyNumberFormat="1" applyFont="1" applyAlignment="1">
      <alignment horizontal="center"/>
    </xf>
    <xf numFmtId="10" fontId="26" fillId="0" borderId="0" xfId="2" applyNumberFormat="1" applyFont="1" applyFill="1" applyBorder="1" applyAlignment="1">
      <alignment horizontal="center"/>
    </xf>
    <xf numFmtId="10" fontId="24" fillId="0" borderId="0" xfId="2" applyNumberFormat="1" applyFont="1" applyAlignment="1">
      <alignment horizontal="right"/>
    </xf>
    <xf numFmtId="10" fontId="24" fillId="0" borderId="4" xfId="2" applyNumberFormat="1" applyFont="1" applyFill="1" applyBorder="1" applyAlignment="1">
      <alignment horizontal="right"/>
    </xf>
    <xf numFmtId="10" fontId="24" fillId="0" borderId="4" xfId="2" applyNumberFormat="1" applyFont="1" applyBorder="1" applyAlignment="1">
      <alignment horizontal="right"/>
    </xf>
    <xf numFmtId="0" fontId="40" fillId="0" borderId="18" xfId="0" applyFont="1" applyBorder="1"/>
    <xf numFmtId="10" fontId="40" fillId="0" borderId="28" xfId="2" applyNumberFormat="1" applyFont="1" applyFill="1" applyBorder="1" applyAlignment="1">
      <alignment horizontal="center"/>
    </xf>
    <xf numFmtId="10" fontId="24" fillId="0" borderId="1" xfId="2" applyNumberFormat="1" applyFont="1" applyBorder="1" applyAlignment="1">
      <alignment horizontal="right" vertical="center"/>
    </xf>
    <xf numFmtId="0" fontId="30" fillId="0" borderId="3" xfId="0" applyFont="1" applyBorder="1" applyAlignment="1">
      <alignment horizontal="center"/>
    </xf>
    <xf numFmtId="10" fontId="23" fillId="0" borderId="0" xfId="2" applyNumberFormat="1" applyFont="1" applyFill="1" applyAlignment="1">
      <alignment horizontal="right" vertical="center"/>
    </xf>
    <xf numFmtId="10" fontId="23" fillId="0" borderId="0" xfId="2" applyNumberFormat="1" applyFont="1" applyFill="1" applyBorder="1" applyAlignment="1">
      <alignment horizontal="right" vertical="center"/>
    </xf>
    <xf numFmtId="43" fontId="26" fillId="0" borderId="16" xfId="1" applyFont="1" applyFill="1" applyBorder="1" applyAlignment="1">
      <alignment horizontal="center"/>
    </xf>
    <xf numFmtId="0" fontId="36" fillId="4" borderId="38" xfId="0" applyFont="1" applyFill="1" applyBorder="1"/>
    <xf numFmtId="10" fontId="40" fillId="4" borderId="38" xfId="2" applyNumberFormat="1" applyFont="1" applyFill="1" applyBorder="1" applyAlignment="1">
      <alignment horizontal="center"/>
    </xf>
    <xf numFmtId="0" fontId="21" fillId="0" borderId="20" xfId="0" applyFont="1" applyBorder="1"/>
    <xf numFmtId="10" fontId="40" fillId="4" borderId="20" xfId="2" applyNumberFormat="1" applyFont="1" applyFill="1" applyBorder="1" applyAlignment="1">
      <alignment horizontal="center"/>
    </xf>
    <xf numFmtId="10" fontId="21" fillId="0" borderId="20" xfId="2" applyNumberFormat="1" applyFont="1" applyFill="1" applyBorder="1"/>
    <xf numFmtId="10" fontId="21" fillId="0" borderId="20" xfId="0" applyNumberFormat="1" applyFont="1" applyBorder="1"/>
    <xf numFmtId="0" fontId="40" fillId="3" borderId="22" xfId="0" applyFont="1" applyFill="1" applyBorder="1"/>
    <xf numFmtId="10" fontId="40" fillId="3" borderId="27" xfId="2" applyNumberFormat="1" applyFont="1" applyFill="1" applyBorder="1" applyAlignment="1">
      <alignment horizontal="center"/>
    </xf>
    <xf numFmtId="43" fontId="40" fillId="0" borderId="1" xfId="1" applyFont="1" applyFill="1" applyBorder="1" applyAlignment="1">
      <alignment horizontal="right" vertical="center"/>
    </xf>
    <xf numFmtId="0" fontId="38" fillId="0" borderId="16" xfId="0" applyFont="1" applyBorder="1" applyAlignment="1">
      <alignment horizontal="center"/>
    </xf>
    <xf numFmtId="0" fontId="21" fillId="0" borderId="8" xfId="0" applyFont="1" applyBorder="1"/>
    <xf numFmtId="0" fontId="21" fillId="0" borderId="14" xfId="0" applyFont="1" applyBorder="1"/>
    <xf numFmtId="0" fontId="0" fillId="0" borderId="8" xfId="0" applyBorder="1"/>
    <xf numFmtId="0" fontId="0" fillId="0" borderId="14" xfId="0" applyBorder="1"/>
    <xf numFmtId="10" fontId="40" fillId="4" borderId="26" xfId="2" applyNumberFormat="1" applyFont="1" applyFill="1" applyBorder="1" applyAlignment="1">
      <alignment horizontal="center"/>
    </xf>
    <xf numFmtId="0" fontId="36" fillId="4" borderId="26" xfId="0" applyFont="1" applyFill="1" applyBorder="1"/>
    <xf numFmtId="0" fontId="40" fillId="4" borderId="26" xfId="0" applyFont="1" applyFill="1" applyBorder="1"/>
    <xf numFmtId="0" fontId="40" fillId="3" borderId="26" xfId="0" applyFont="1" applyFill="1" applyBorder="1"/>
    <xf numFmtId="0" fontId="36" fillId="4" borderId="7" xfId="0" applyFont="1" applyFill="1" applyBorder="1" applyAlignment="1">
      <alignment horizontal="left" vertical="center"/>
    </xf>
    <xf numFmtId="10" fontId="44" fillId="0" borderId="0" xfId="2" applyNumberFormat="1" applyFont="1" applyFill="1" applyBorder="1" applyAlignment="1">
      <alignment horizontal="center"/>
    </xf>
    <xf numFmtId="10" fontId="26" fillId="0" borderId="16" xfId="2" applyNumberFormat="1" applyFont="1" applyFill="1" applyBorder="1" applyAlignment="1">
      <alignment horizontal="center" vertical="center"/>
    </xf>
    <xf numFmtId="10" fontId="26" fillId="0" borderId="16" xfId="2" applyNumberFormat="1" applyFont="1" applyFill="1" applyBorder="1" applyAlignment="1">
      <alignment horizontal="center"/>
    </xf>
    <xf numFmtId="0" fontId="39" fillId="3" borderId="0" xfId="0" applyFont="1" applyFill="1" applyAlignment="1">
      <alignment horizontal="center"/>
    </xf>
    <xf numFmtId="0" fontId="21" fillId="3" borderId="39" xfId="0" applyFont="1" applyFill="1" applyBorder="1" applyAlignment="1">
      <alignment horizontal="center"/>
    </xf>
    <xf numFmtId="0" fontId="39" fillId="3" borderId="1" xfId="0" applyFont="1" applyFill="1" applyBorder="1" applyAlignment="1">
      <alignment horizontal="center"/>
    </xf>
    <xf numFmtId="0" fontId="39" fillId="3" borderId="29" xfId="0" applyFont="1" applyFill="1" applyBorder="1" applyAlignment="1">
      <alignment horizontal="center"/>
    </xf>
    <xf numFmtId="0" fontId="39" fillId="3" borderId="20" xfId="0" applyFont="1" applyFill="1" applyBorder="1" applyAlignment="1">
      <alignment horizontal="center"/>
    </xf>
    <xf numFmtId="0" fontId="39" fillId="3" borderId="22" xfId="0" applyFont="1" applyFill="1" applyBorder="1" applyAlignment="1">
      <alignment horizontal="center"/>
    </xf>
    <xf numFmtId="0" fontId="21" fillId="3" borderId="40" xfId="0" applyFont="1" applyFill="1" applyBorder="1" applyAlignment="1">
      <alignment horizontal="center"/>
    </xf>
    <xf numFmtId="0" fontId="21" fillId="3" borderId="41" xfId="0" applyFont="1" applyFill="1" applyBorder="1" applyAlignment="1">
      <alignment horizontal="center"/>
    </xf>
    <xf numFmtId="0" fontId="38" fillId="0" borderId="18" xfId="0" applyFont="1" applyBorder="1"/>
    <xf numFmtId="43" fontId="38" fillId="0" borderId="28" xfId="1" applyFont="1" applyFill="1" applyBorder="1"/>
    <xf numFmtId="2" fontId="26" fillId="0" borderId="16" xfId="0" applyNumberFormat="1" applyFont="1" applyBorder="1" applyAlignment="1">
      <alignment horizontal="center"/>
    </xf>
    <xf numFmtId="10" fontId="25" fillId="0" borderId="16" xfId="2" applyNumberFormat="1" applyFont="1" applyFill="1" applyBorder="1"/>
    <xf numFmtId="10" fontId="25" fillId="0" borderId="16" xfId="2" applyNumberFormat="1" applyFont="1" applyFill="1" applyBorder="1" applyAlignment="1">
      <alignment horizontal="center"/>
    </xf>
    <xf numFmtId="10" fontId="26" fillId="0" borderId="32" xfId="2" applyNumberFormat="1" applyFont="1" applyFill="1" applyBorder="1" applyAlignment="1">
      <alignment horizontal="right"/>
    </xf>
    <xf numFmtId="10" fontId="26" fillId="0" borderId="34" xfId="0" applyNumberFormat="1" applyFont="1" applyBorder="1"/>
    <xf numFmtId="10" fontId="44" fillId="0" borderId="16" xfId="2" applyNumberFormat="1" applyFont="1" applyFill="1" applyBorder="1" applyAlignment="1">
      <alignment horizontal="center"/>
    </xf>
    <xf numFmtId="0" fontId="0" fillId="0" borderId="20" xfId="0" applyBorder="1"/>
    <xf numFmtId="10" fontId="47" fillId="0" borderId="0" xfId="2" applyNumberFormat="1" applyFont="1" applyFill="1" applyBorder="1" applyAlignment="1">
      <alignment horizontal="center" vertical="center"/>
    </xf>
    <xf numFmtId="0" fontId="49" fillId="0" borderId="0" xfId="6" applyFont="1"/>
    <xf numFmtId="0" fontId="47" fillId="0" borderId="7" xfId="0" applyFont="1" applyBorder="1" applyAlignment="1">
      <alignment horizontal="center" vertical="center"/>
    </xf>
    <xf numFmtId="0" fontId="39" fillId="0" borderId="24" xfId="0" applyFont="1" applyBorder="1"/>
    <xf numFmtId="15" fontId="36" fillId="0" borderId="10" xfId="0" quotePrefix="1" applyNumberFormat="1" applyFont="1" applyBorder="1" applyAlignment="1">
      <alignment horizontal="center"/>
    </xf>
    <xf numFmtId="10" fontId="40" fillId="0" borderId="10" xfId="2" applyNumberFormat="1" applyFont="1" applyFill="1" applyBorder="1"/>
    <xf numFmtId="10" fontId="40" fillId="0" borderId="3" xfId="2" applyNumberFormat="1" applyFont="1" applyFill="1" applyBorder="1"/>
    <xf numFmtId="15" fontId="36" fillId="0" borderId="24" xfId="0" quotePrefix="1" applyNumberFormat="1" applyFont="1" applyBorder="1" applyAlignment="1">
      <alignment horizontal="center"/>
    </xf>
    <xf numFmtId="0" fontId="39" fillId="0" borderId="10" xfId="0" applyFont="1" applyBorder="1"/>
    <xf numFmtId="164" fontId="40" fillId="0" borderId="10" xfId="1" applyNumberFormat="1" applyFont="1" applyFill="1" applyBorder="1"/>
    <xf numFmtId="164" fontId="40" fillId="0" borderId="3" xfId="1" applyNumberFormat="1" applyFont="1" applyFill="1" applyBorder="1"/>
    <xf numFmtId="10" fontId="24" fillId="0" borderId="0" xfId="1" applyNumberFormat="1" applyFont="1" applyFill="1" applyAlignment="1">
      <alignment horizontal="right" vertical="center"/>
    </xf>
    <xf numFmtId="10" fontId="24" fillId="0" borderId="1" xfId="1" applyNumberFormat="1" applyFont="1" applyFill="1" applyBorder="1" applyAlignment="1">
      <alignment horizontal="right" vertical="center"/>
    </xf>
    <xf numFmtId="10" fontId="24" fillId="3" borderId="10" xfId="2" applyNumberFormat="1" applyFont="1" applyFill="1" applyBorder="1" applyAlignment="1">
      <alignment horizontal="center"/>
    </xf>
    <xf numFmtId="10" fontId="24" fillId="3" borderId="10" xfId="1" applyNumberFormat="1" applyFont="1" applyFill="1" applyBorder="1" applyAlignment="1">
      <alignment horizontal="center"/>
    </xf>
    <xf numFmtId="0" fontId="59" fillId="3" borderId="16" xfId="0" applyFont="1" applyFill="1" applyBorder="1"/>
    <xf numFmtId="0" fontId="30" fillId="3" borderId="25" xfId="0" applyFont="1" applyFill="1" applyBorder="1" applyAlignment="1">
      <alignment horizontal="center"/>
    </xf>
    <xf numFmtId="0" fontId="26" fillId="0" borderId="28" xfId="0" applyFont="1" applyBorder="1"/>
    <xf numFmtId="10" fontId="26" fillId="0" borderId="28" xfId="2" applyNumberFormat="1" applyFont="1" applyFill="1" applyBorder="1"/>
    <xf numFmtId="2" fontId="24" fillId="0" borderId="0" xfId="0" applyNumberFormat="1" applyFont="1" applyAlignment="1">
      <alignment horizontal="right"/>
    </xf>
    <xf numFmtId="0" fontId="60" fillId="3" borderId="24" xfId="0" applyFont="1" applyFill="1" applyBorder="1" applyAlignment="1">
      <alignment horizontal="center" vertical="center" wrapText="1"/>
    </xf>
    <xf numFmtId="0" fontId="62" fillId="0" borderId="0" xfId="0" applyFont="1"/>
    <xf numFmtId="0" fontId="63" fillId="0" borderId="0" xfId="0" applyFont="1"/>
    <xf numFmtId="0" fontId="5" fillId="0" borderId="0" xfId="0" applyFont="1"/>
    <xf numFmtId="0" fontId="48" fillId="5" borderId="25" xfId="0" applyFont="1" applyFill="1" applyBorder="1" applyAlignment="1">
      <alignment horizontal="center"/>
    </xf>
    <xf numFmtId="0" fontId="48" fillId="5" borderId="27" xfId="0" applyFont="1" applyFill="1" applyBorder="1" applyAlignment="1">
      <alignment horizontal="center"/>
    </xf>
    <xf numFmtId="0" fontId="30" fillId="0" borderId="29" xfId="0" applyFont="1" applyBorder="1"/>
    <xf numFmtId="10" fontId="48" fillId="0" borderId="25" xfId="2" applyNumberFormat="1" applyFont="1" applyFill="1" applyBorder="1" applyAlignment="1">
      <alignment horizontal="center"/>
    </xf>
    <xf numFmtId="10" fontId="65" fillId="0" borderId="25" xfId="2" applyNumberFormat="1" applyFont="1" applyFill="1" applyBorder="1" applyAlignment="1">
      <alignment horizontal="center"/>
    </xf>
    <xf numFmtId="0" fontId="30" fillId="0" borderId="20" xfId="0" applyFont="1" applyBorder="1"/>
    <xf numFmtId="10" fontId="48" fillId="0" borderId="26" xfId="2" applyNumberFormat="1" applyFont="1" applyFill="1" applyBorder="1" applyAlignment="1">
      <alignment horizontal="center"/>
    </xf>
    <xf numFmtId="10" fontId="65" fillId="0" borderId="26" xfId="2" applyNumberFormat="1" applyFont="1" applyFill="1" applyBorder="1" applyAlignment="1">
      <alignment horizontal="center"/>
    </xf>
    <xf numFmtId="0" fontId="30" fillId="0" borderId="22" xfId="0" applyFont="1" applyBorder="1"/>
    <xf numFmtId="10" fontId="48" fillId="0" borderId="27" xfId="2" applyNumberFormat="1" applyFont="1" applyFill="1" applyBorder="1" applyAlignment="1">
      <alignment horizontal="center"/>
    </xf>
    <xf numFmtId="10" fontId="65" fillId="0" borderId="27" xfId="2" applyNumberFormat="1" applyFont="1" applyFill="1" applyBorder="1" applyAlignment="1">
      <alignment horizontal="center"/>
    </xf>
    <xf numFmtId="10" fontId="30" fillId="0" borderId="26" xfId="2" applyNumberFormat="1" applyFont="1" applyFill="1" applyBorder="1" applyAlignment="1">
      <alignment horizontal="center"/>
    </xf>
    <xf numFmtId="10" fontId="30" fillId="0" borderId="27" xfId="2" applyNumberFormat="1" applyFont="1" applyFill="1" applyBorder="1" applyAlignment="1">
      <alignment horizontal="center"/>
    </xf>
    <xf numFmtId="10" fontId="48" fillId="0" borderId="26" xfId="2" applyNumberFormat="1" applyFont="1" applyBorder="1" applyAlignment="1">
      <alignment horizontal="center" vertical="center"/>
    </xf>
    <xf numFmtId="10" fontId="48" fillId="0" borderId="27" xfId="2" applyNumberFormat="1" applyFont="1" applyBorder="1" applyAlignment="1">
      <alignment horizontal="center" vertical="center"/>
    </xf>
    <xf numFmtId="10" fontId="30" fillId="0" borderId="25" xfId="2" applyNumberFormat="1" applyFont="1" applyFill="1" applyBorder="1" applyAlignment="1">
      <alignment horizontal="center"/>
    </xf>
    <xf numFmtId="0" fontId="40" fillId="0" borderId="29" xfId="0" applyFont="1" applyBorder="1"/>
    <xf numFmtId="0" fontId="21" fillId="0" borderId="31" xfId="0" applyFont="1" applyBorder="1"/>
    <xf numFmtId="0" fontId="21" fillId="0" borderId="30" xfId="0" applyFont="1" applyBorder="1"/>
    <xf numFmtId="0" fontId="0" fillId="0" borderId="30" xfId="0" applyBorder="1"/>
    <xf numFmtId="0" fontId="40" fillId="0" borderId="20" xfId="0" applyFont="1" applyBorder="1"/>
    <xf numFmtId="0" fontId="0" fillId="0" borderId="21" xfId="0" applyBorder="1"/>
    <xf numFmtId="0" fontId="40" fillId="0" borderId="22" xfId="0" applyFont="1" applyBorder="1"/>
    <xf numFmtId="0" fontId="21" fillId="0" borderId="1" xfId="0" applyFont="1" applyBorder="1"/>
    <xf numFmtId="0" fontId="0" fillId="0" borderId="23" xfId="0" applyBorder="1"/>
    <xf numFmtId="10" fontId="36" fillId="0" borderId="29" xfId="2" applyNumberFormat="1" applyFont="1" applyBorder="1" applyAlignment="1">
      <alignment horizontal="left"/>
    </xf>
    <xf numFmtId="0" fontId="0" fillId="0" borderId="31" xfId="0" applyBorder="1"/>
    <xf numFmtId="0" fontId="68" fillId="0" borderId="22" xfId="6" applyFont="1" applyBorder="1"/>
    <xf numFmtId="0" fontId="63" fillId="0" borderId="0" xfId="0" applyFont="1" applyAlignment="1">
      <alignment vertical="center"/>
    </xf>
    <xf numFmtId="15" fontId="69" fillId="0" borderId="0" xfId="0" quotePrefix="1" applyNumberFormat="1" applyFont="1" applyAlignment="1">
      <alignment horizontal="left"/>
    </xf>
    <xf numFmtId="0" fontId="70" fillId="0" borderId="0" xfId="6" applyFont="1"/>
    <xf numFmtId="0" fontId="61" fillId="0" borderId="0" xfId="0" applyFont="1"/>
    <xf numFmtId="0" fontId="71" fillId="0" borderId="0" xfId="0" applyFont="1" applyAlignment="1">
      <alignment vertical="center"/>
    </xf>
    <xf numFmtId="0" fontId="72" fillId="0" borderId="0" xfId="6" applyFont="1" applyAlignment="1">
      <alignment vertical="center"/>
    </xf>
    <xf numFmtId="0" fontId="70" fillId="0" borderId="0" xfId="6" applyFont="1" applyAlignment="1">
      <alignment vertical="center"/>
    </xf>
    <xf numFmtId="0" fontId="69" fillId="0" borderId="0" xfId="6" applyFont="1"/>
    <xf numFmtId="17" fontId="71" fillId="0" borderId="0" xfId="0" quotePrefix="1" applyNumberFormat="1" applyFont="1" applyAlignment="1">
      <alignment vertical="center"/>
    </xf>
    <xf numFmtId="0" fontId="73" fillId="0" borderId="0" xfId="6" applyFont="1" applyAlignment="1">
      <alignment vertical="center"/>
    </xf>
    <xf numFmtId="0" fontId="73" fillId="0" borderId="0" xfId="0" applyFont="1"/>
    <xf numFmtId="0" fontId="74" fillId="0" borderId="0" xfId="0" applyFont="1" applyAlignment="1">
      <alignment vertical="center"/>
    </xf>
    <xf numFmtId="0" fontId="30" fillId="5" borderId="28" xfId="0" applyFont="1" applyFill="1" applyBorder="1" applyAlignment="1">
      <alignment horizontal="center"/>
    </xf>
    <xf numFmtId="0" fontId="0" fillId="0" borderId="29" xfId="0" applyBorder="1"/>
    <xf numFmtId="0" fontId="75" fillId="0" borderId="31" xfId="0" applyFont="1" applyBorder="1" applyAlignment="1">
      <alignment horizontal="right"/>
    </xf>
    <xf numFmtId="0" fontId="0" fillId="0" borderId="25" xfId="0" applyBorder="1"/>
    <xf numFmtId="0" fontId="76" fillId="0" borderId="0" xfId="0" applyFont="1" applyAlignment="1">
      <alignment horizontal="right"/>
    </xf>
    <xf numFmtId="10" fontId="30" fillId="0" borderId="26" xfId="2" applyNumberFormat="1" applyFont="1" applyBorder="1" applyAlignment="1">
      <alignment horizontal="center"/>
    </xf>
    <xf numFmtId="0" fontId="30" fillId="0" borderId="0" xfId="0" applyFont="1" applyAlignment="1">
      <alignment horizontal="right" indent="1"/>
    </xf>
    <xf numFmtId="0" fontId="75" fillId="0" borderId="0" xfId="0" applyFont="1" applyAlignment="1">
      <alignment horizontal="right"/>
    </xf>
    <xf numFmtId="0" fontId="21" fillId="0" borderId="26" xfId="0" applyFont="1" applyBorder="1" applyAlignment="1">
      <alignment horizontal="center"/>
    </xf>
    <xf numFmtId="10" fontId="26" fillId="6" borderId="16" xfId="2" applyNumberFormat="1" applyFont="1" applyFill="1" applyBorder="1" applyAlignment="1">
      <alignment horizontal="center"/>
    </xf>
    <xf numFmtId="0" fontId="75" fillId="0" borderId="0" xfId="0" applyFont="1" applyAlignment="1">
      <alignment horizontal="right" vertical="center"/>
    </xf>
    <xf numFmtId="10" fontId="75" fillId="0" borderId="26" xfId="0" applyNumberFormat="1" applyFont="1" applyBorder="1" applyAlignment="1">
      <alignment horizontal="center"/>
    </xf>
    <xf numFmtId="0" fontId="0" fillId="0" borderId="22" xfId="0" applyBorder="1"/>
    <xf numFmtId="0" fontId="75" fillId="0" borderId="1" xfId="0" applyFont="1" applyBorder="1" applyAlignment="1">
      <alignment horizontal="right" vertical="center"/>
    </xf>
    <xf numFmtId="10" fontId="75" fillId="0" borderId="27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2" fontId="5" fillId="0" borderId="0" xfId="0" applyNumberFormat="1" applyFont="1" applyAlignment="1">
      <alignment horizontal="left"/>
    </xf>
    <xf numFmtId="2" fontId="52" fillId="0" borderId="0" xfId="0" applyNumberFormat="1" applyFont="1" applyAlignment="1">
      <alignment horizontal="left"/>
    </xf>
    <xf numFmtId="10" fontId="66" fillId="0" borderId="0" xfId="2" applyNumberFormat="1" applyFont="1" applyFill="1" applyBorder="1" applyAlignment="1">
      <alignment horizontal="left"/>
    </xf>
    <xf numFmtId="0" fontId="67" fillId="0" borderId="0" xfId="0" applyFont="1" applyAlignment="1">
      <alignment horizontal="left"/>
    </xf>
    <xf numFmtId="10" fontId="44" fillId="6" borderId="16" xfId="2" applyNumberFormat="1" applyFont="1" applyFill="1" applyBorder="1" applyAlignment="1">
      <alignment horizontal="center"/>
    </xf>
    <xf numFmtId="0" fontId="21" fillId="0" borderId="0" xfId="0" applyFont="1" applyAlignment="1">
      <alignment horizontal="right"/>
    </xf>
    <xf numFmtId="0" fontId="78" fillId="0" borderId="0" xfId="0" applyFont="1"/>
    <xf numFmtId="0" fontId="79" fillId="0" borderId="0" xfId="0" applyFont="1"/>
    <xf numFmtId="164" fontId="40" fillId="0" borderId="0" xfId="1" applyNumberFormat="1" applyFont="1" applyFill="1" applyBorder="1"/>
    <xf numFmtId="0" fontId="40" fillId="0" borderId="3" xfId="0" applyFont="1" applyBorder="1" applyAlignment="1">
      <alignment horizontal="center"/>
    </xf>
    <xf numFmtId="0" fontId="20" fillId="0" borderId="0" xfId="6" applyAlignment="1">
      <alignment vertical="center"/>
    </xf>
    <xf numFmtId="0" fontId="80" fillId="0" borderId="0" xfId="0" applyFont="1" applyAlignment="1">
      <alignment horizontal="left" vertical="center"/>
    </xf>
    <xf numFmtId="0" fontId="30" fillId="5" borderId="18" xfId="0" applyFont="1" applyFill="1" applyBorder="1" applyAlignment="1">
      <alignment horizontal="center"/>
    </xf>
    <xf numFmtId="0" fontId="30" fillId="5" borderId="42" xfId="0" applyFont="1" applyFill="1" applyBorder="1" applyAlignment="1">
      <alignment horizontal="center"/>
    </xf>
    <xf numFmtId="0" fontId="30" fillId="5" borderId="19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82" fillId="0" borderId="0" xfId="0" applyNumberFormat="1" applyFont="1" applyAlignment="1">
      <alignment horizontal="center"/>
    </xf>
    <xf numFmtId="0" fontId="83" fillId="0" borderId="2" xfId="0" applyFont="1" applyBorder="1"/>
    <xf numFmtId="0" fontId="82" fillId="0" borderId="7" xfId="0" applyFont="1" applyBorder="1" applyAlignment="1">
      <alignment horizontal="center"/>
    </xf>
    <xf numFmtId="0" fontId="84" fillId="0" borderId="0" xfId="0" applyFont="1"/>
    <xf numFmtId="0" fontId="85" fillId="0" borderId="2" xfId="0" applyFont="1" applyBorder="1"/>
    <xf numFmtId="0" fontId="85" fillId="0" borderId="0" xfId="0" applyFont="1"/>
    <xf numFmtId="0" fontId="84" fillId="0" borderId="0" xfId="0" applyFont="1" applyAlignment="1">
      <alignment horizontal="left"/>
    </xf>
    <xf numFmtId="0" fontId="86" fillId="0" borderId="0" xfId="0" applyFont="1"/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135</xdr:row>
      <xdr:rowOff>0</xdr:rowOff>
    </xdr:from>
    <xdr:to>
      <xdr:col>14</xdr:col>
      <xdr:colOff>371475</xdr:colOff>
      <xdr:row>182</xdr:row>
      <xdr:rowOff>76200</xdr:rowOff>
    </xdr:to>
    <xdr:pic>
      <xdr:nvPicPr>
        <xdr:cNvPr id="2" name="Picture 1" descr="ValueLine Industry Report Dated February 6, 2026 page 128. Details easten region Electric Utility industry economic and financial impact and future outlook ">
          <a:extLst>
            <a:ext uri="{FF2B5EF4-FFF2-40B4-BE49-F238E27FC236}">
              <a16:creationId xmlns:a16="http://schemas.microsoft.com/office/drawing/2014/main" id="{9AFEAFF6-177C-3E9B-7AD4-0F98412D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0"/>
          <a:ext cx="8905875" cy="902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135</xdr:row>
      <xdr:rowOff>0</xdr:rowOff>
    </xdr:from>
    <xdr:to>
      <xdr:col>29</xdr:col>
      <xdr:colOff>371475</xdr:colOff>
      <xdr:row>195</xdr:row>
      <xdr:rowOff>76200</xdr:rowOff>
    </xdr:to>
    <xdr:pic>
      <xdr:nvPicPr>
        <xdr:cNvPr id="3" name="Picture 2" descr="Valuelinr Industry Report dated March 6, 2026 page 901.  Details central region Electric Utility Industry economic and financial environment and outlook. ">
          <a:extLst>
            <a:ext uri="{FF2B5EF4-FFF2-40B4-BE49-F238E27FC236}">
              <a16:creationId xmlns:a16="http://schemas.microsoft.com/office/drawing/2014/main" id="{C40F92E0-F90E-E3C7-6FC6-1193EE79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717500"/>
          <a:ext cx="8905875" cy="1150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Kentucky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;https:/papers.ssrn.com/sol3/papers.cfm?abstract_id=5260463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4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7"/>
  <sheetViews>
    <sheetView view="pageBreakPreview" zoomScaleNormal="100" zoomScaleSheetLayoutView="100" workbookViewId="0">
      <selection activeCell="F8" sqref="F8"/>
    </sheetView>
  </sheetViews>
  <sheetFormatPr defaultRowHeight="15"/>
  <cols>
    <col min="9" max="9" width="16.42578125" customWidth="1"/>
  </cols>
  <sheetData>
    <row r="1" spans="1:13" ht="18.75">
      <c r="A1" s="452" t="s">
        <v>0</v>
      </c>
      <c r="B1" s="453"/>
      <c r="C1" s="453"/>
      <c r="D1" s="453"/>
      <c r="E1" s="453"/>
      <c r="F1" s="453"/>
      <c r="G1" s="453"/>
      <c r="H1" s="453"/>
      <c r="I1" s="453"/>
    </row>
    <row r="5" spans="1:13" ht="27">
      <c r="E5" s="454" t="s">
        <v>0</v>
      </c>
      <c r="F5" s="455"/>
      <c r="G5" s="455"/>
      <c r="H5" s="455"/>
      <c r="I5" s="455"/>
      <c r="J5" s="455"/>
      <c r="K5" s="455"/>
      <c r="L5" s="455"/>
      <c r="M5" s="455"/>
    </row>
    <row r="7" spans="1:13" ht="27">
      <c r="A7" s="456" t="s">
        <v>31</v>
      </c>
      <c r="B7" s="457"/>
      <c r="C7" s="457"/>
      <c r="D7" s="457"/>
      <c r="E7" s="457"/>
      <c r="F7" s="457"/>
      <c r="G7" s="457"/>
      <c r="H7" s="457"/>
      <c r="I7" s="457"/>
    </row>
    <row r="8" spans="1:13" ht="27">
      <c r="A8" s="6"/>
      <c r="B8" s="7"/>
      <c r="C8" s="7"/>
      <c r="D8" s="7"/>
      <c r="E8" s="6" t="s">
        <v>0</v>
      </c>
      <c r="F8" s="7"/>
      <c r="G8" s="7"/>
      <c r="H8" s="7"/>
      <c r="I8" s="7"/>
      <c r="J8" s="7"/>
      <c r="K8" s="7"/>
      <c r="L8" s="7"/>
      <c r="M8" s="7"/>
    </row>
    <row r="9" spans="1:13" ht="27">
      <c r="B9" s="7"/>
      <c r="C9" s="7"/>
      <c r="D9" s="7"/>
      <c r="E9" s="6" t="s">
        <v>474</v>
      </c>
      <c r="F9" s="7"/>
      <c r="G9" s="7"/>
      <c r="H9" s="7"/>
      <c r="I9" s="7"/>
    </row>
    <row r="15" spans="1:13">
      <c r="A15" s="449" t="s">
        <v>0</v>
      </c>
      <c r="B15" s="450"/>
      <c r="C15" s="450"/>
      <c r="D15" s="450"/>
      <c r="E15" s="450"/>
      <c r="F15" s="450"/>
      <c r="G15" s="450"/>
      <c r="H15" s="450"/>
      <c r="I15" s="450"/>
    </row>
    <row r="16" spans="1:13" ht="33.75">
      <c r="A16" s="447" t="str">
        <f>+'S&amp;D'!A12</f>
        <v>Electric Utilities</v>
      </c>
      <c r="B16" s="448"/>
      <c r="C16" s="448"/>
      <c r="D16" s="448"/>
      <c r="E16" s="448"/>
      <c r="F16" s="448"/>
      <c r="G16" s="448"/>
      <c r="H16" s="448"/>
      <c r="I16" s="448"/>
    </row>
    <row r="17" spans="1:9">
      <c r="A17" s="449" t="s">
        <v>0</v>
      </c>
      <c r="B17" s="450"/>
      <c r="C17" s="450"/>
      <c r="D17" s="450"/>
      <c r="E17" s="450"/>
      <c r="F17" s="450"/>
      <c r="G17" s="450"/>
      <c r="H17" s="450"/>
      <c r="I17" s="450"/>
    </row>
    <row r="18" spans="1:9">
      <c r="A18" s="8"/>
      <c r="B18" s="9"/>
      <c r="C18" s="9"/>
      <c r="D18" s="9"/>
      <c r="E18" s="9"/>
      <c r="F18" s="9"/>
      <c r="G18" s="9"/>
      <c r="H18" s="9"/>
      <c r="I18" s="9"/>
    </row>
    <row r="19" spans="1:9">
      <c r="A19" s="8"/>
      <c r="B19" s="9"/>
      <c r="C19" s="9"/>
      <c r="D19" s="9"/>
      <c r="E19" s="9"/>
      <c r="F19" s="9"/>
      <c r="G19" s="9"/>
      <c r="H19" s="9"/>
      <c r="I19" s="9"/>
    </row>
    <row r="20" spans="1:9">
      <c r="A20" s="8"/>
      <c r="B20" s="9"/>
      <c r="C20" s="9"/>
      <c r="D20" s="9"/>
      <c r="E20" s="9"/>
      <c r="F20" s="9"/>
      <c r="G20" s="9"/>
      <c r="H20" s="9"/>
      <c r="I20" s="9"/>
    </row>
    <row r="21" spans="1:9">
      <c r="A21" s="8"/>
      <c r="B21" s="9"/>
      <c r="C21" s="9"/>
      <c r="D21" s="9"/>
      <c r="E21" s="9"/>
      <c r="F21" s="9"/>
      <c r="G21" s="9"/>
      <c r="H21" s="9"/>
      <c r="I21" s="9"/>
    </row>
    <row r="22" spans="1:9">
      <c r="A22" s="8"/>
      <c r="B22" s="9"/>
      <c r="C22" s="9"/>
      <c r="D22" s="9"/>
      <c r="E22" s="9"/>
      <c r="F22" s="9"/>
      <c r="G22" s="9"/>
      <c r="H22" s="9"/>
      <c r="I22" s="9"/>
    </row>
    <row r="23" spans="1:9">
      <c r="A23" s="8"/>
      <c r="B23" s="9"/>
      <c r="C23" s="9"/>
      <c r="D23" s="9"/>
      <c r="E23" s="9"/>
      <c r="F23" s="9"/>
      <c r="G23" s="9"/>
      <c r="H23" s="9"/>
      <c r="I23" s="9"/>
    </row>
    <row r="24" spans="1:9">
      <c r="A24" s="8"/>
      <c r="B24" s="9"/>
      <c r="C24" s="9"/>
      <c r="D24" s="9"/>
      <c r="E24" s="9"/>
      <c r="F24" s="9"/>
      <c r="G24" s="9"/>
      <c r="H24" s="9"/>
      <c r="I24" s="9"/>
    </row>
    <row r="25" spans="1:9">
      <c r="A25" s="8"/>
      <c r="B25" s="9"/>
      <c r="C25" s="9"/>
      <c r="D25" s="9"/>
      <c r="E25" s="9"/>
      <c r="F25" s="9"/>
      <c r="G25" s="9"/>
      <c r="H25" s="9"/>
      <c r="I25" s="9"/>
    </row>
    <row r="26" spans="1:9">
      <c r="A26" s="8"/>
      <c r="B26" s="9"/>
      <c r="C26" s="9"/>
      <c r="D26" s="9"/>
      <c r="E26" s="9"/>
      <c r="F26" s="9"/>
      <c r="G26" s="9"/>
      <c r="H26" s="9"/>
      <c r="I26" s="9"/>
    </row>
    <row r="27" spans="1:9">
      <c r="A27" s="8"/>
      <c r="B27" s="9"/>
      <c r="C27" s="9"/>
      <c r="D27" s="9"/>
      <c r="E27" s="9"/>
      <c r="F27" s="9"/>
      <c r="G27" s="9"/>
      <c r="H27" s="9"/>
      <c r="I27" s="9"/>
    </row>
    <row r="28" spans="1:9">
      <c r="A28" s="8"/>
      <c r="B28" s="9"/>
      <c r="C28" s="9"/>
      <c r="D28" s="9"/>
      <c r="E28" s="9"/>
      <c r="F28" s="9"/>
      <c r="G28" s="9"/>
      <c r="H28" s="9"/>
      <c r="I28" s="9"/>
    </row>
    <row r="29" spans="1:9">
      <c r="A29" s="449" t="s">
        <v>0</v>
      </c>
      <c r="B29" s="450"/>
      <c r="C29" s="450"/>
      <c r="D29" s="450"/>
      <c r="E29" s="450"/>
      <c r="F29" s="450"/>
      <c r="G29" s="450"/>
      <c r="H29" s="450"/>
      <c r="I29" s="450"/>
    </row>
    <row r="34" spans="1:9">
      <c r="A34" s="451" t="e" vm="1">
        <v>#VALUE!</v>
      </c>
      <c r="B34" s="451"/>
      <c r="C34" s="451"/>
      <c r="D34" s="451"/>
      <c r="E34" s="451"/>
      <c r="F34" s="451"/>
      <c r="G34" s="451"/>
      <c r="H34" s="451"/>
      <c r="I34" s="451"/>
    </row>
    <row r="35" spans="1:9">
      <c r="A35" s="451"/>
      <c r="B35" s="451"/>
      <c r="C35" s="451"/>
      <c r="D35" s="451"/>
      <c r="E35" s="451"/>
      <c r="F35" s="451"/>
      <c r="G35" s="451"/>
      <c r="H35" s="451"/>
      <c r="I35" s="451"/>
    </row>
    <row r="36" spans="1:9">
      <c r="A36" s="451"/>
      <c r="B36" s="451"/>
      <c r="C36" s="451"/>
      <c r="D36" s="451"/>
      <c r="E36" s="451"/>
      <c r="F36" s="451"/>
      <c r="G36" s="451"/>
      <c r="H36" s="451"/>
      <c r="I36" s="451"/>
    </row>
    <row r="37" spans="1:9">
      <c r="A37" s="451"/>
      <c r="B37" s="451"/>
      <c r="C37" s="451"/>
      <c r="D37" s="451"/>
      <c r="E37" s="451"/>
      <c r="F37" s="451"/>
      <c r="G37" s="451"/>
      <c r="H37" s="451"/>
      <c r="I37" s="451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31"/>
  <sheetViews>
    <sheetView view="pageBreakPreview" zoomScale="80" zoomScaleNormal="80" zoomScaleSheetLayoutView="80" workbookViewId="0">
      <selection activeCell="F24" sqref="F24"/>
    </sheetView>
  </sheetViews>
  <sheetFormatPr defaultRowHeight="15"/>
  <cols>
    <col min="1" max="1" width="22.42578125" customWidth="1"/>
    <col min="2" max="2" width="39.5703125" customWidth="1"/>
    <col min="3" max="3" width="16.85546875" customWidth="1"/>
    <col min="4" max="4" width="35.42578125" customWidth="1"/>
    <col min="5" max="5" width="18" customWidth="1"/>
    <col min="6" max="6" width="20.85546875" bestFit="1" customWidth="1"/>
    <col min="7" max="7" width="22" customWidth="1"/>
    <col min="8" max="8" width="23.5703125" customWidth="1"/>
  </cols>
  <sheetData>
    <row r="1" spans="1:11" ht="26.25">
      <c r="A1" s="25" t="s">
        <v>1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17.25">
      <c r="A2" s="26" t="s">
        <v>9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ht="17.25" customHeight="1">
      <c r="A3" s="27" t="s">
        <v>475</v>
      </c>
      <c r="C3" s="13"/>
      <c r="D3" s="13"/>
      <c r="E3" s="13"/>
      <c r="F3" s="13"/>
      <c r="G3" s="13"/>
      <c r="H3" s="13"/>
      <c r="I3" s="13"/>
      <c r="J3" s="13"/>
      <c r="K3" s="13"/>
    </row>
    <row r="4" spans="1:11" ht="17.25" customHeight="1">
      <c r="B4" s="27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>
      <c r="B5" s="139"/>
      <c r="C5" s="13"/>
      <c r="D5" s="13"/>
      <c r="E5" s="13"/>
      <c r="F5" s="13"/>
      <c r="G5" s="13"/>
      <c r="H5" s="13"/>
      <c r="I5" s="13"/>
      <c r="J5" s="13"/>
      <c r="K5" s="13"/>
    </row>
    <row r="6" spans="1:11" ht="17.25" customHeight="1">
      <c r="B6" s="139"/>
      <c r="C6" s="13"/>
      <c r="D6" s="13"/>
      <c r="E6" s="13"/>
      <c r="F6" s="13"/>
      <c r="G6" s="13"/>
      <c r="H6" s="13"/>
      <c r="I6" s="13"/>
      <c r="J6" s="13"/>
      <c r="K6" s="13"/>
    </row>
    <row r="7" spans="1:11" ht="17.25" customHeight="1">
      <c r="B7" s="139"/>
      <c r="C7" s="13"/>
      <c r="D7" s="13"/>
      <c r="E7" s="13"/>
      <c r="F7" s="13"/>
      <c r="G7" s="13"/>
      <c r="H7" s="13"/>
      <c r="I7" s="13"/>
      <c r="J7" s="13"/>
      <c r="K7" s="13"/>
    </row>
    <row r="8" spans="1:11" ht="16.5">
      <c r="B8" s="27"/>
      <c r="C8" s="13"/>
      <c r="D8" s="13"/>
      <c r="E8" s="13"/>
      <c r="F8" s="13"/>
      <c r="G8" s="13"/>
      <c r="H8" s="13"/>
      <c r="I8" s="13"/>
      <c r="J8" s="13"/>
      <c r="K8" s="13"/>
    </row>
    <row r="9" spans="1:11" ht="20.25">
      <c r="B9" s="13"/>
      <c r="C9" s="13"/>
      <c r="D9" s="78" t="s">
        <v>0</v>
      </c>
      <c r="E9" s="13"/>
      <c r="F9" s="13"/>
      <c r="G9" s="13"/>
      <c r="H9" s="13"/>
      <c r="I9" s="13"/>
      <c r="J9" s="13"/>
      <c r="K9" s="13"/>
    </row>
    <row r="10" spans="1:11" ht="20.25">
      <c r="B10" s="13"/>
      <c r="C10" s="13"/>
      <c r="D10" s="78" t="s">
        <v>97</v>
      </c>
      <c r="E10" s="13"/>
      <c r="F10" s="13"/>
      <c r="G10" s="13"/>
      <c r="H10" s="13"/>
      <c r="I10" s="13"/>
      <c r="J10" s="13"/>
      <c r="K10" s="13"/>
    </row>
    <row r="11" spans="1:11" ht="16.5"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6.5"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16.5">
      <c r="B13" s="13"/>
      <c r="C13" s="13"/>
      <c r="D13" s="13"/>
      <c r="E13" s="28"/>
      <c r="F13" s="13"/>
      <c r="G13" s="13"/>
      <c r="H13" s="13"/>
      <c r="I13" s="13"/>
      <c r="J13" s="13"/>
      <c r="K13" s="13"/>
    </row>
    <row r="14" spans="1:11" ht="16.5"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17.25" thickBot="1">
      <c r="B15" s="13"/>
      <c r="C15" s="30"/>
      <c r="D15" s="30"/>
      <c r="E15" s="30"/>
      <c r="F15" s="13"/>
      <c r="G15" s="13"/>
      <c r="H15" s="13"/>
      <c r="I15" s="13"/>
      <c r="J15" s="13"/>
      <c r="K15" s="13"/>
    </row>
    <row r="16" spans="1:11" ht="26.25">
      <c r="B16" s="13"/>
      <c r="C16" s="13"/>
      <c r="D16" s="32" t="str">
        <f>+'S&amp;D'!A12</f>
        <v>Electric Utilities</v>
      </c>
      <c r="E16" s="13"/>
      <c r="F16" s="13"/>
      <c r="G16" s="13"/>
      <c r="H16" s="13"/>
      <c r="I16" s="13"/>
      <c r="J16" s="13"/>
      <c r="K16" s="13"/>
    </row>
    <row r="17" spans="2:11" ht="17.25" thickBot="1">
      <c r="B17" s="13"/>
      <c r="C17" s="30"/>
      <c r="D17" s="37" t="s">
        <v>0</v>
      </c>
      <c r="E17" s="30"/>
      <c r="F17" s="13"/>
      <c r="G17" s="13"/>
      <c r="H17" s="13"/>
      <c r="I17" s="13"/>
      <c r="J17" s="13"/>
      <c r="K17" s="13"/>
    </row>
    <row r="18" spans="2:11" ht="17.25" thickBot="1">
      <c r="B18" s="30"/>
      <c r="C18" s="30"/>
      <c r="D18" s="37" t="s">
        <v>0</v>
      </c>
      <c r="E18" s="30"/>
      <c r="F18" s="30"/>
      <c r="G18" s="30"/>
      <c r="H18" s="13"/>
      <c r="I18" s="13"/>
      <c r="J18" s="13"/>
      <c r="K18" s="13"/>
    </row>
    <row r="19" spans="2:11" ht="16.5">
      <c r="B19" s="35" t="s">
        <v>32</v>
      </c>
      <c r="C19" s="35" t="s">
        <v>33</v>
      </c>
      <c r="D19" s="35" t="s">
        <v>34</v>
      </c>
      <c r="E19" s="35" t="s">
        <v>101</v>
      </c>
      <c r="F19" s="35" t="s">
        <v>34</v>
      </c>
      <c r="G19" s="35" t="s">
        <v>35</v>
      </c>
      <c r="H19" s="13"/>
      <c r="I19" s="13"/>
      <c r="J19" s="13"/>
      <c r="K19" s="13"/>
    </row>
    <row r="20" spans="2:11" ht="17.25" thickBot="1">
      <c r="B20" s="37" t="s">
        <v>33</v>
      </c>
      <c r="C20" s="37" t="s">
        <v>36</v>
      </c>
      <c r="D20" s="37" t="s">
        <v>37</v>
      </c>
      <c r="E20" s="37" t="s">
        <v>23</v>
      </c>
      <c r="F20" s="37" t="s">
        <v>38</v>
      </c>
      <c r="G20" s="37" t="s">
        <v>39</v>
      </c>
      <c r="H20" s="13"/>
      <c r="I20" s="13"/>
      <c r="J20" s="13"/>
      <c r="K20" s="13"/>
    </row>
    <row r="21" spans="2:11" ht="16.5">
      <c r="B21" s="39" t="s">
        <v>0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13"/>
      <c r="I21" s="13"/>
      <c r="J21" s="13"/>
      <c r="K21" s="13"/>
    </row>
    <row r="22" spans="2:11" ht="16.5">
      <c r="B22" s="35"/>
      <c r="C22" s="35"/>
      <c r="D22" s="35"/>
      <c r="E22" s="35"/>
      <c r="F22" s="35"/>
      <c r="G22" s="35"/>
      <c r="H22" s="13"/>
      <c r="I22" s="13"/>
      <c r="J22" s="13"/>
      <c r="K22" s="13"/>
    </row>
    <row r="23" spans="2:11" ht="17.25">
      <c r="B23" s="90" t="s">
        <v>40</v>
      </c>
      <c r="C23" s="132">
        <f>'S&amp;D'!I66</f>
        <v>0.59</v>
      </c>
      <c r="D23" s="132">
        <f>+'Indicated Yield Equity Rate '!D51</f>
        <v>8.8800000000000004E-2</v>
      </c>
      <c r="E23" s="104"/>
      <c r="F23" s="132">
        <f>+D23</f>
        <v>8.8800000000000004E-2</v>
      </c>
      <c r="G23" s="133">
        <f>+F23*C23</f>
        <v>5.2392000000000001E-2</v>
      </c>
      <c r="H23" s="13"/>
      <c r="I23" s="13"/>
      <c r="J23" s="13"/>
      <c r="K23" s="13"/>
    </row>
    <row r="24" spans="2:11" ht="17.25">
      <c r="B24" s="90" t="s">
        <v>0</v>
      </c>
      <c r="C24" s="104" t="s">
        <v>0</v>
      </c>
      <c r="D24" s="104" t="s">
        <v>0</v>
      </c>
      <c r="E24" s="104" t="s">
        <v>0</v>
      </c>
      <c r="F24" s="458" t="s">
        <v>0</v>
      </c>
      <c r="G24" s="121" t="s">
        <v>0</v>
      </c>
      <c r="H24" s="13"/>
      <c r="I24" s="13"/>
      <c r="J24" s="13"/>
      <c r="K24" s="13"/>
    </row>
    <row r="25" spans="2:11" ht="17.25">
      <c r="B25" s="90" t="s">
        <v>42</v>
      </c>
      <c r="C25" s="132">
        <f>'S&amp;D'!J66</f>
        <v>0.41</v>
      </c>
      <c r="D25" s="132">
        <f>+Debt!J37</f>
        <v>5.8799999999999998E-2</v>
      </c>
      <c r="E25" s="132">
        <v>0.26</v>
      </c>
      <c r="F25" s="132">
        <f>+D25*(1-E25)</f>
        <v>4.3511999999999995E-2</v>
      </c>
      <c r="G25" s="133">
        <f>+C25*F25</f>
        <v>1.7839919999999995E-2</v>
      </c>
      <c r="H25" s="13"/>
      <c r="I25" s="13"/>
      <c r="J25" s="13"/>
      <c r="K25" s="13"/>
    </row>
    <row r="26" spans="2:11" ht="18" thickBot="1">
      <c r="B26" s="97" t="s">
        <v>0</v>
      </c>
      <c r="C26" s="97" t="s">
        <v>0</v>
      </c>
      <c r="D26" s="97" t="s">
        <v>0</v>
      </c>
      <c r="E26" s="97" t="s">
        <v>0</v>
      </c>
      <c r="F26" s="134" t="s">
        <v>0</v>
      </c>
      <c r="G26" s="135" t="s">
        <v>0</v>
      </c>
      <c r="H26" s="13"/>
      <c r="I26" s="13"/>
      <c r="J26" s="13"/>
      <c r="K26" s="13"/>
    </row>
    <row r="27" spans="2:11" ht="17.25">
      <c r="B27" s="90" t="s">
        <v>104</v>
      </c>
      <c r="C27" s="136">
        <f>+C23+C25</f>
        <v>1</v>
      </c>
      <c r="D27" s="90" t="s">
        <v>0</v>
      </c>
      <c r="E27" s="90" t="s">
        <v>0</v>
      </c>
      <c r="F27" s="137" t="s">
        <v>0</v>
      </c>
      <c r="G27" s="133">
        <f>+G23+G25</f>
        <v>7.0231920000000003E-2</v>
      </c>
      <c r="H27" s="13"/>
      <c r="I27" s="13"/>
      <c r="J27" s="13"/>
      <c r="K27" s="13"/>
    </row>
    <row r="28" spans="2:11" ht="18" thickBot="1">
      <c r="B28" s="63"/>
      <c r="C28" s="63"/>
      <c r="D28" s="63"/>
      <c r="E28" s="63"/>
      <c r="F28" s="63"/>
      <c r="G28" s="138"/>
      <c r="H28" s="13"/>
      <c r="I28" s="13"/>
      <c r="J28" s="13"/>
      <c r="K28" s="13"/>
    </row>
    <row r="29" spans="2:11" ht="18" thickBot="1">
      <c r="B29" s="13"/>
      <c r="C29" s="13"/>
      <c r="D29" s="13"/>
      <c r="E29" s="13"/>
      <c r="F29" s="186" t="s">
        <v>107</v>
      </c>
      <c r="G29" s="171">
        <v>7.0199999999999999E-2</v>
      </c>
      <c r="H29" s="13"/>
      <c r="I29" s="13"/>
      <c r="J29" s="13"/>
      <c r="K29" s="13"/>
    </row>
    <row r="30" spans="2:11" ht="16.5"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2:11" ht="16.5">
      <c r="B31" s="13"/>
      <c r="C31" s="13"/>
      <c r="D31" s="13"/>
      <c r="E31" s="13"/>
      <c r="F31" s="13"/>
      <c r="G31" s="13"/>
      <c r="H31" s="13"/>
      <c r="I31" s="13"/>
      <c r="J31" s="13"/>
      <c r="K31" s="13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>
    <tabColor rgb="FF92D050"/>
    <pageSetUpPr fitToPage="1"/>
  </sheetPr>
  <dimension ref="A1:K64"/>
  <sheetViews>
    <sheetView view="pageBreakPreview" topLeftCell="A39" zoomScale="80" zoomScaleNormal="80" zoomScaleSheetLayoutView="80" workbookViewId="0">
      <selection activeCell="F57" activeCellId="1" sqref="F24 F57"/>
    </sheetView>
  </sheetViews>
  <sheetFormatPr defaultRowHeight="15"/>
  <cols>
    <col min="1" max="1" width="17.42578125" customWidth="1"/>
    <col min="2" max="2" width="31.5703125" customWidth="1"/>
    <col min="3" max="3" width="16.5703125" customWidth="1"/>
    <col min="4" max="4" width="35.42578125" customWidth="1"/>
    <col min="5" max="5" width="14.85546875" customWidth="1"/>
    <col min="6" max="6" width="25.85546875" customWidth="1"/>
    <col min="7" max="7" width="24.140625" customWidth="1"/>
    <col min="8" max="8" width="17.5703125" customWidth="1"/>
  </cols>
  <sheetData>
    <row r="1" spans="1:11" ht="26.25">
      <c r="A1" s="25" t="s">
        <v>1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17.25">
      <c r="A2" s="26" t="s">
        <v>9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ht="16.5">
      <c r="A3" s="27" t="s">
        <v>475</v>
      </c>
      <c r="C3" s="13"/>
      <c r="D3" s="13"/>
      <c r="E3" s="13"/>
      <c r="F3" s="13"/>
      <c r="G3" s="13"/>
      <c r="H3" s="13"/>
      <c r="I3" s="13"/>
      <c r="J3" s="13"/>
      <c r="K3" s="13"/>
    </row>
    <row r="4" spans="1:11" ht="16.5">
      <c r="B4" s="27"/>
      <c r="C4" s="13"/>
      <c r="D4" s="13"/>
      <c r="E4" s="13"/>
      <c r="F4" s="13"/>
      <c r="G4" s="13"/>
      <c r="H4" s="13"/>
      <c r="I4" s="13"/>
      <c r="J4" s="13"/>
      <c r="K4" s="13"/>
    </row>
    <row r="5" spans="1:11" ht="16.5">
      <c r="B5" s="27"/>
      <c r="C5" s="13"/>
      <c r="D5" s="13"/>
      <c r="E5" s="13"/>
      <c r="F5" s="13"/>
      <c r="G5" s="13"/>
      <c r="H5" s="13"/>
      <c r="I5" s="13"/>
      <c r="J5" s="13"/>
      <c r="K5" s="13"/>
    </row>
    <row r="6" spans="1:11" ht="16.5">
      <c r="B6" s="27"/>
      <c r="C6" s="13"/>
      <c r="D6" s="13"/>
      <c r="E6" s="13"/>
      <c r="F6" s="13"/>
      <c r="G6" s="13"/>
      <c r="H6" s="13"/>
      <c r="I6" s="13"/>
      <c r="J6" s="13"/>
      <c r="K6" s="13"/>
    </row>
    <row r="7" spans="1:11" ht="16.5">
      <c r="B7" s="27"/>
      <c r="C7" s="13"/>
      <c r="D7" s="13"/>
      <c r="E7" s="13"/>
      <c r="F7" s="13"/>
      <c r="G7" s="13"/>
      <c r="H7" s="13"/>
      <c r="I7" s="13"/>
      <c r="J7" s="13"/>
      <c r="K7" s="13"/>
    </row>
    <row r="8" spans="1:11" ht="16.5">
      <c r="B8" s="27"/>
      <c r="C8" s="13"/>
      <c r="D8" s="13"/>
      <c r="E8" s="13"/>
      <c r="F8" s="13"/>
      <c r="G8" s="13"/>
      <c r="H8" s="13"/>
      <c r="I8" s="13"/>
      <c r="J8" s="13"/>
      <c r="K8" s="13"/>
    </row>
    <row r="9" spans="1:11" ht="16.5">
      <c r="B9" s="27"/>
      <c r="C9" s="13"/>
      <c r="D9" s="13"/>
      <c r="E9" s="13"/>
      <c r="F9" s="13"/>
      <c r="G9" s="13"/>
      <c r="H9" s="13"/>
      <c r="I9" s="13"/>
      <c r="J9" s="13"/>
      <c r="K9" s="13"/>
    </row>
    <row r="10" spans="1:11" ht="20.25">
      <c r="B10" s="13"/>
      <c r="C10" s="13"/>
      <c r="D10" s="78" t="s">
        <v>0</v>
      </c>
      <c r="E10" s="13"/>
      <c r="F10" s="13"/>
      <c r="G10" s="13"/>
      <c r="H10" s="13"/>
      <c r="I10" s="13"/>
      <c r="J10" s="13"/>
      <c r="K10" s="13"/>
    </row>
    <row r="11" spans="1:11" ht="20.25">
      <c r="B11" s="13"/>
      <c r="C11" s="13"/>
      <c r="D11" s="78" t="s">
        <v>96</v>
      </c>
      <c r="E11" s="13"/>
      <c r="F11" s="13"/>
      <c r="G11" s="13"/>
      <c r="H11" s="13"/>
      <c r="I11" s="13"/>
      <c r="J11" s="13"/>
      <c r="K11" s="13"/>
    </row>
    <row r="12" spans="1:11" ht="16.5"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16.5"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17.25" thickBot="1">
      <c r="B14" s="13"/>
      <c r="C14" s="30"/>
      <c r="D14" s="30"/>
      <c r="E14" s="30"/>
      <c r="F14" s="13"/>
      <c r="G14" s="13"/>
      <c r="H14" s="13"/>
      <c r="I14" s="13"/>
      <c r="J14" s="13"/>
      <c r="K14" s="13"/>
    </row>
    <row r="15" spans="1:11" ht="26.25">
      <c r="B15" s="13"/>
      <c r="C15" s="13"/>
      <c r="D15" s="32" t="str">
        <f>+'S&amp;D'!A12</f>
        <v>Electric Utilities</v>
      </c>
      <c r="E15" s="13"/>
      <c r="F15" s="13"/>
      <c r="G15" s="13"/>
      <c r="H15" s="13"/>
      <c r="I15" s="13"/>
      <c r="J15" s="13"/>
      <c r="K15" s="13"/>
    </row>
    <row r="16" spans="1:11" ht="21" thickBot="1">
      <c r="B16" s="13"/>
      <c r="C16" s="30"/>
      <c r="D16" s="131" t="s">
        <v>103</v>
      </c>
      <c r="E16" s="30"/>
      <c r="F16" s="13"/>
      <c r="G16" s="13"/>
      <c r="H16" s="13"/>
      <c r="I16" s="13"/>
      <c r="J16" s="13"/>
      <c r="K16" s="13"/>
    </row>
    <row r="17" spans="2:11" ht="16.5">
      <c r="H17" s="13"/>
      <c r="I17" s="13"/>
      <c r="J17" s="13"/>
      <c r="K17" s="13"/>
    </row>
    <row r="18" spans="2:11" ht="17.25" thickBot="1">
      <c r="B18" s="30"/>
      <c r="C18" s="30"/>
      <c r="D18" s="37" t="s">
        <v>0</v>
      </c>
      <c r="E18" s="30"/>
      <c r="F18" s="30"/>
      <c r="G18" s="30"/>
      <c r="H18" s="13"/>
      <c r="I18" s="13"/>
      <c r="J18" s="13"/>
      <c r="K18" s="13"/>
    </row>
    <row r="19" spans="2:11" ht="16.5">
      <c r="B19" s="35" t="s">
        <v>32</v>
      </c>
      <c r="C19" s="35" t="s">
        <v>33</v>
      </c>
      <c r="D19" s="35" t="s">
        <v>100</v>
      </c>
      <c r="E19" s="35" t="s">
        <v>101</v>
      </c>
      <c r="F19" s="35" t="s">
        <v>99</v>
      </c>
      <c r="G19" s="35" t="s">
        <v>35</v>
      </c>
      <c r="H19" s="13"/>
      <c r="I19" s="13"/>
      <c r="J19" s="13"/>
      <c r="K19" s="13"/>
    </row>
    <row r="20" spans="2:11" ht="17.25" thickBot="1">
      <c r="B20" s="37" t="s">
        <v>33</v>
      </c>
      <c r="C20" s="37" t="s">
        <v>36</v>
      </c>
      <c r="D20" s="37" t="s">
        <v>37</v>
      </c>
      <c r="E20" s="37" t="s">
        <v>23</v>
      </c>
      <c r="F20" s="37" t="s">
        <v>38</v>
      </c>
      <c r="G20" s="37" t="s">
        <v>102</v>
      </c>
      <c r="H20" s="13"/>
      <c r="I20" s="13"/>
      <c r="J20" s="13"/>
      <c r="K20" s="13"/>
    </row>
    <row r="21" spans="2:11" ht="16.5">
      <c r="B21" s="39" t="s">
        <v>0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13"/>
      <c r="I21" s="13"/>
      <c r="J21" s="13"/>
      <c r="K21" s="13"/>
    </row>
    <row r="22" spans="2:11" ht="16.5">
      <c r="B22" s="35"/>
      <c r="C22" s="35"/>
      <c r="D22" s="35"/>
      <c r="E22" s="35"/>
      <c r="F22" s="35"/>
      <c r="G22" s="35"/>
      <c r="H22" s="13"/>
      <c r="I22" s="13"/>
      <c r="J22" s="13"/>
      <c r="K22" s="13"/>
    </row>
    <row r="23" spans="2:11" ht="17.25">
      <c r="B23" s="90" t="s">
        <v>40</v>
      </c>
      <c r="C23" s="132">
        <f>'S&amp;D'!I66</f>
        <v>0.59</v>
      </c>
      <c r="D23" s="132">
        <f>+'Direct NOPAT'!J41</f>
        <v>5.6750000000000002E-2</v>
      </c>
      <c r="E23" s="104"/>
      <c r="F23" s="132">
        <f>+D23</f>
        <v>5.6750000000000002E-2</v>
      </c>
      <c r="G23" s="133">
        <f>+F23*C23</f>
        <v>3.3482499999999998E-2</v>
      </c>
      <c r="H23" s="13"/>
      <c r="I23" s="13"/>
      <c r="J23" s="13"/>
      <c r="K23" s="13"/>
    </row>
    <row r="24" spans="2:11" ht="17.25">
      <c r="B24" s="90" t="s">
        <v>0</v>
      </c>
      <c r="C24" s="104" t="s">
        <v>0</v>
      </c>
      <c r="D24" s="104" t="s">
        <v>0</v>
      </c>
      <c r="E24" s="104" t="s">
        <v>0</v>
      </c>
      <c r="F24" s="458" t="s">
        <v>0</v>
      </c>
      <c r="G24" s="121" t="s">
        <v>0</v>
      </c>
      <c r="H24" s="13"/>
      <c r="I24" s="13"/>
      <c r="J24" s="13"/>
      <c r="K24" s="13"/>
    </row>
    <row r="25" spans="2:11" ht="17.25">
      <c r="B25" s="90" t="s">
        <v>42</v>
      </c>
      <c r="C25" s="132">
        <f>'S&amp;D'!J66</f>
        <v>0.41</v>
      </c>
      <c r="D25" s="132">
        <f>+Debt!J37</f>
        <v>5.8799999999999998E-2</v>
      </c>
      <c r="E25" s="132">
        <v>0.26</v>
      </c>
      <c r="F25" s="132">
        <f>+D25*(1-E25)</f>
        <v>4.3511999999999995E-2</v>
      </c>
      <c r="G25" s="133">
        <f>+C25*F25</f>
        <v>1.7839919999999995E-2</v>
      </c>
      <c r="H25" s="13"/>
      <c r="I25" s="13"/>
      <c r="J25" s="13"/>
      <c r="K25" s="13"/>
    </row>
    <row r="26" spans="2:11" ht="18" thickBot="1">
      <c r="B26" s="97" t="s">
        <v>0</v>
      </c>
      <c r="C26" s="97" t="s">
        <v>0</v>
      </c>
      <c r="D26" s="97" t="s">
        <v>0</v>
      </c>
      <c r="E26" s="97" t="s">
        <v>0</v>
      </c>
      <c r="F26" s="134" t="s">
        <v>0</v>
      </c>
      <c r="G26" s="135" t="s">
        <v>0</v>
      </c>
      <c r="H26" s="13"/>
      <c r="I26" s="13"/>
      <c r="J26" s="13"/>
      <c r="K26" s="13"/>
    </row>
    <row r="27" spans="2:11" ht="17.25">
      <c r="B27" s="90" t="s">
        <v>43</v>
      </c>
      <c r="C27" s="136">
        <f>+C23+C25</f>
        <v>1</v>
      </c>
      <c r="D27" s="90" t="s">
        <v>0</v>
      </c>
      <c r="E27" s="90" t="s">
        <v>0</v>
      </c>
      <c r="F27" s="137" t="s">
        <v>0</v>
      </c>
      <c r="G27" s="133">
        <f>+G23+G25</f>
        <v>5.1322419999999994E-2</v>
      </c>
      <c r="H27" s="13"/>
      <c r="I27" s="13"/>
      <c r="J27" s="13"/>
      <c r="K27" s="13"/>
    </row>
    <row r="28" spans="2:11" ht="18" thickBot="1">
      <c r="B28" s="63"/>
      <c r="C28" s="63"/>
      <c r="D28" s="63"/>
      <c r="E28" s="63"/>
      <c r="F28" s="63"/>
      <c r="G28" s="138"/>
      <c r="H28" s="13"/>
      <c r="I28" s="13"/>
      <c r="J28" s="13"/>
      <c r="K28" s="13"/>
    </row>
    <row r="29" spans="2:11" ht="18" thickBot="1">
      <c r="B29" s="13"/>
      <c r="C29" s="13"/>
      <c r="D29" s="13"/>
      <c r="E29" s="13"/>
      <c r="F29" s="186" t="s">
        <v>107</v>
      </c>
      <c r="G29" s="171">
        <v>5.1299999999999998E-2</v>
      </c>
      <c r="H29" s="13"/>
      <c r="I29" s="13"/>
      <c r="J29" s="13"/>
      <c r="K29" s="13"/>
    </row>
    <row r="30" spans="2:11" ht="18" thickBot="1">
      <c r="B30" s="13"/>
      <c r="C30" s="13"/>
      <c r="D30" s="13"/>
      <c r="E30" s="13"/>
      <c r="F30" s="137"/>
      <c r="G30" s="133"/>
      <c r="H30" s="13"/>
      <c r="I30" s="13"/>
      <c r="J30" s="13"/>
      <c r="K30" s="13"/>
    </row>
    <row r="31" spans="2:11" ht="18" thickBot="1">
      <c r="B31" s="13"/>
      <c r="C31" s="13"/>
      <c r="D31" s="13"/>
      <c r="E31" s="13"/>
      <c r="F31" s="186" t="s">
        <v>256</v>
      </c>
      <c r="G31" s="215">
        <f>1/G29</f>
        <v>19.49317738791423</v>
      </c>
      <c r="H31" s="13"/>
      <c r="I31" s="13"/>
      <c r="J31" s="13"/>
      <c r="K31" s="13"/>
    </row>
    <row r="32" spans="2:11" ht="17.25">
      <c r="B32" s="13"/>
      <c r="C32" s="13"/>
      <c r="D32" s="13"/>
      <c r="E32" s="13"/>
      <c r="F32" s="137"/>
      <c r="G32" s="133"/>
      <c r="H32" s="13"/>
      <c r="I32" s="13"/>
      <c r="J32" s="13"/>
      <c r="K32" s="13"/>
    </row>
    <row r="33" spans="1:11" ht="17.25">
      <c r="B33" s="13"/>
      <c r="C33" s="13"/>
      <c r="D33" s="13"/>
      <c r="E33" s="13"/>
      <c r="F33" s="137"/>
      <c r="G33" s="133"/>
      <c r="H33" s="13"/>
      <c r="I33" s="13"/>
      <c r="J33" s="13"/>
      <c r="K33" s="13"/>
    </row>
    <row r="34" spans="1:11" ht="26.25">
      <c r="A34" s="25" t="s">
        <v>1</v>
      </c>
      <c r="C34" s="13"/>
      <c r="D34" s="13"/>
      <c r="E34" s="13"/>
      <c r="F34" s="137"/>
      <c r="G34" s="133"/>
      <c r="H34" s="13"/>
      <c r="I34" s="13"/>
      <c r="J34" s="13"/>
      <c r="K34" s="13"/>
    </row>
    <row r="35" spans="1:11" ht="17.25">
      <c r="A35" s="26" t="s">
        <v>9</v>
      </c>
      <c r="C35" s="13"/>
      <c r="D35" s="13"/>
      <c r="E35" s="13"/>
      <c r="F35" s="137"/>
      <c r="G35" s="133"/>
      <c r="H35" s="13"/>
      <c r="I35" s="13"/>
      <c r="J35" s="13"/>
      <c r="K35" s="13"/>
    </row>
    <row r="36" spans="1:11" ht="17.25">
      <c r="A36" s="27" t="s">
        <v>475</v>
      </c>
      <c r="C36" s="13"/>
      <c r="D36" s="13"/>
      <c r="E36" s="13"/>
      <c r="F36" s="137"/>
      <c r="G36" s="133"/>
      <c r="H36" s="13"/>
      <c r="I36" s="13"/>
      <c r="J36" s="13"/>
      <c r="K36" s="13"/>
    </row>
    <row r="37" spans="1:11" ht="17.25">
      <c r="A37" s="27"/>
      <c r="C37" s="13"/>
      <c r="D37" s="13"/>
      <c r="E37" s="13"/>
      <c r="F37" s="137"/>
      <c r="G37" s="133"/>
      <c r="H37" s="13"/>
      <c r="I37" s="13"/>
      <c r="J37" s="13"/>
      <c r="K37" s="13"/>
    </row>
    <row r="38" spans="1:11" ht="17.25">
      <c r="A38" s="27"/>
      <c r="C38" s="13"/>
      <c r="D38" s="13"/>
      <c r="E38" s="13"/>
      <c r="F38" s="137"/>
      <c r="G38" s="133"/>
      <c r="H38" s="13"/>
      <c r="I38" s="13"/>
      <c r="J38" s="13"/>
      <c r="K38" s="13"/>
    </row>
    <row r="39" spans="1:11" ht="17.25">
      <c r="A39" s="27"/>
      <c r="C39" s="13"/>
      <c r="D39" s="13"/>
      <c r="E39" s="13"/>
      <c r="F39" s="137"/>
      <c r="G39" s="133"/>
      <c r="H39" s="13"/>
      <c r="I39" s="13"/>
      <c r="J39" s="13"/>
      <c r="K39" s="13"/>
    </row>
    <row r="40" spans="1:11" ht="17.25">
      <c r="A40" s="27"/>
      <c r="C40" s="13"/>
      <c r="D40" s="13"/>
      <c r="E40" s="13"/>
      <c r="F40" s="137"/>
      <c r="G40" s="133"/>
      <c r="H40" s="13"/>
      <c r="I40" s="13"/>
      <c r="J40" s="13"/>
      <c r="K40" s="13"/>
    </row>
    <row r="41" spans="1:11" ht="17.25">
      <c r="A41" s="27"/>
      <c r="C41" s="13"/>
      <c r="D41" s="13"/>
      <c r="E41" s="13"/>
      <c r="F41" s="137"/>
      <c r="G41" s="133"/>
      <c r="H41" s="13"/>
      <c r="I41" s="13"/>
      <c r="J41" s="13"/>
      <c r="K41" s="13"/>
    </row>
    <row r="42" spans="1:11" ht="17.25">
      <c r="A42" s="27"/>
      <c r="C42" s="13"/>
      <c r="D42" s="13"/>
      <c r="E42" s="13"/>
      <c r="F42" s="137"/>
      <c r="G42" s="133"/>
      <c r="H42" s="13"/>
      <c r="I42" s="13"/>
      <c r="J42" s="13"/>
      <c r="K42" s="13"/>
    </row>
    <row r="43" spans="1:11" ht="17.25">
      <c r="A43" s="27"/>
      <c r="C43" s="13"/>
      <c r="D43" s="13"/>
      <c r="E43" s="13"/>
      <c r="F43" s="137"/>
      <c r="G43" s="133"/>
      <c r="H43" s="13"/>
      <c r="I43" s="13"/>
      <c r="J43" s="13"/>
      <c r="K43" s="13"/>
    </row>
    <row r="44" spans="1:11" ht="20.25">
      <c r="A44" s="27"/>
      <c r="C44" s="13"/>
      <c r="D44" s="78" t="s">
        <v>96</v>
      </c>
      <c r="E44" s="13"/>
      <c r="F44" s="137"/>
      <c r="G44" s="133"/>
      <c r="H44" s="13"/>
      <c r="I44" s="13"/>
      <c r="J44" s="13"/>
      <c r="K44" s="13"/>
    </row>
    <row r="45" spans="1:11" ht="20.25">
      <c r="A45" s="27"/>
      <c r="C45" s="13"/>
      <c r="D45" s="78"/>
      <c r="E45" s="13"/>
      <c r="F45" s="137"/>
      <c r="G45" s="133"/>
      <c r="H45" s="13"/>
      <c r="I45" s="13"/>
      <c r="J45" s="13"/>
      <c r="K45" s="13"/>
    </row>
    <row r="46" spans="1:11" ht="20.25">
      <c r="A46" s="27"/>
      <c r="C46" s="13"/>
      <c r="D46" s="78"/>
      <c r="E46" s="13"/>
      <c r="F46" s="137"/>
      <c r="G46" s="133"/>
      <c r="H46" s="13"/>
      <c r="I46" s="13"/>
      <c r="J46" s="13"/>
      <c r="K46" s="13"/>
    </row>
    <row r="47" spans="1:11" ht="17.25" thickBot="1">
      <c r="B47" s="13"/>
      <c r="C47" s="30"/>
      <c r="D47" s="30"/>
      <c r="E47" s="30"/>
      <c r="F47" s="13"/>
      <c r="G47" s="13"/>
      <c r="H47" s="13"/>
      <c r="I47" s="13"/>
      <c r="J47" s="13"/>
      <c r="K47" s="13"/>
    </row>
    <row r="48" spans="1:11" ht="26.25">
      <c r="B48" s="13"/>
      <c r="C48" s="13"/>
      <c r="D48" s="32" t="str">
        <f>+D15</f>
        <v>Electric Utilities</v>
      </c>
      <c r="E48" s="13"/>
      <c r="F48" s="13"/>
      <c r="G48" s="13"/>
      <c r="H48" s="13"/>
      <c r="I48" s="13"/>
      <c r="J48" s="13"/>
      <c r="K48" s="13"/>
    </row>
    <row r="49" spans="2:11" ht="21" thickBot="1">
      <c r="B49" s="13"/>
      <c r="C49" s="30"/>
      <c r="D49" s="131" t="s">
        <v>98</v>
      </c>
      <c r="E49" s="30"/>
      <c r="F49" s="13"/>
      <c r="G49" s="13"/>
      <c r="H49" s="13"/>
      <c r="I49" s="13"/>
      <c r="J49" s="13"/>
      <c r="K49" s="13"/>
    </row>
    <row r="50" spans="2:11" ht="16.5"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2:11" ht="17.25" thickBot="1">
      <c r="B51" s="30"/>
      <c r="C51" s="30"/>
      <c r="D51" s="37" t="s">
        <v>0</v>
      </c>
      <c r="E51" s="30"/>
      <c r="F51" s="30"/>
      <c r="G51" s="30"/>
      <c r="H51" s="13"/>
      <c r="I51" s="13"/>
      <c r="J51" s="13"/>
      <c r="K51" s="13"/>
    </row>
    <row r="52" spans="2:11" ht="16.5">
      <c r="B52" s="35" t="s">
        <v>32</v>
      </c>
      <c r="C52" s="35" t="s">
        <v>33</v>
      </c>
      <c r="D52" s="35" t="s">
        <v>100</v>
      </c>
      <c r="E52" s="35" t="s">
        <v>101</v>
      </c>
      <c r="F52" s="35" t="s">
        <v>99</v>
      </c>
      <c r="G52" s="35" t="s">
        <v>35</v>
      </c>
      <c r="H52" s="13"/>
      <c r="I52" s="13"/>
      <c r="J52" s="13"/>
      <c r="K52" s="13"/>
    </row>
    <row r="53" spans="2:11" ht="17.25" thickBot="1">
      <c r="B53" s="37" t="s">
        <v>33</v>
      </c>
      <c r="C53" s="37" t="s">
        <v>36</v>
      </c>
      <c r="D53" s="37" t="s">
        <v>37</v>
      </c>
      <c r="E53" s="37" t="s">
        <v>23</v>
      </c>
      <c r="F53" s="37" t="s">
        <v>38</v>
      </c>
      <c r="G53" s="37" t="s">
        <v>102</v>
      </c>
      <c r="H53" s="13"/>
      <c r="I53" s="13"/>
      <c r="J53" s="13"/>
      <c r="K53" s="13"/>
    </row>
    <row r="54" spans="2:11" ht="16.5">
      <c r="B54" s="39" t="s">
        <v>0</v>
      </c>
      <c r="C54" s="39" t="s">
        <v>0</v>
      </c>
      <c r="D54" s="39" t="s">
        <v>0</v>
      </c>
      <c r="E54" s="39" t="s">
        <v>0</v>
      </c>
      <c r="F54" s="39" t="s">
        <v>0</v>
      </c>
      <c r="G54" s="39" t="s">
        <v>0</v>
      </c>
      <c r="H54" s="13"/>
      <c r="I54" s="13"/>
      <c r="J54" s="13"/>
      <c r="K54" s="13"/>
    </row>
    <row r="55" spans="2:11" ht="16.5">
      <c r="B55" s="35"/>
      <c r="C55" s="35"/>
      <c r="D55" s="35"/>
      <c r="E55" s="35"/>
      <c r="F55" s="35"/>
      <c r="G55" s="35"/>
      <c r="H55" s="13"/>
      <c r="I55" s="13"/>
      <c r="J55" s="13"/>
      <c r="K55" s="13"/>
    </row>
    <row r="56" spans="2:11" ht="17.25">
      <c r="B56" s="90" t="s">
        <v>40</v>
      </c>
      <c r="C56" s="132">
        <f>'S&amp;D'!I66</f>
        <v>0.59</v>
      </c>
      <c r="D56" s="132">
        <f>'Direct GCF'!H40</f>
        <v>0.11910000000000001</v>
      </c>
      <c r="E56" s="104" t="s">
        <v>41</v>
      </c>
      <c r="F56" s="132">
        <f>+D56</f>
        <v>0.11910000000000001</v>
      </c>
      <c r="G56" s="133">
        <f>+F56*C56</f>
        <v>7.0268999999999998E-2</v>
      </c>
      <c r="H56" s="13"/>
      <c r="I56" s="13"/>
      <c r="J56" s="13"/>
      <c r="K56" s="13"/>
    </row>
    <row r="57" spans="2:11" ht="17.25">
      <c r="B57" s="90" t="s">
        <v>0</v>
      </c>
      <c r="C57" s="104" t="s">
        <v>0</v>
      </c>
      <c r="D57" s="104" t="s">
        <v>0</v>
      </c>
      <c r="E57" s="104" t="s">
        <v>0</v>
      </c>
      <c r="F57" s="458" t="s">
        <v>0</v>
      </c>
      <c r="G57" s="121" t="s">
        <v>0</v>
      </c>
      <c r="H57" s="13"/>
      <c r="I57" s="13"/>
      <c r="J57" s="13"/>
      <c r="K57" s="13"/>
    </row>
    <row r="58" spans="2:11" ht="17.25">
      <c r="B58" s="90" t="s">
        <v>42</v>
      </c>
      <c r="C58" s="132">
        <f>'S&amp;D'!J66</f>
        <v>0.41</v>
      </c>
      <c r="D58" s="132">
        <f>+Debt!J37</f>
        <v>5.8799999999999998E-2</v>
      </c>
      <c r="E58" s="132">
        <v>0.26</v>
      </c>
      <c r="F58" s="132">
        <f>+D58*(1-E58)</f>
        <v>4.3511999999999995E-2</v>
      </c>
      <c r="G58" s="133">
        <f>+C58*F58</f>
        <v>1.7839919999999995E-2</v>
      </c>
      <c r="H58" s="13"/>
      <c r="I58" s="13"/>
      <c r="J58" s="13"/>
      <c r="K58" s="13"/>
    </row>
    <row r="59" spans="2:11" ht="18" thickBot="1">
      <c r="B59" s="97" t="s">
        <v>0</v>
      </c>
      <c r="C59" s="97" t="s">
        <v>0</v>
      </c>
      <c r="D59" s="97" t="s">
        <v>0</v>
      </c>
      <c r="E59" s="97" t="s">
        <v>0</v>
      </c>
      <c r="F59" s="134" t="s">
        <v>0</v>
      </c>
      <c r="G59" s="135" t="s">
        <v>0</v>
      </c>
      <c r="H59" s="13"/>
      <c r="I59" s="13"/>
      <c r="J59" s="13"/>
      <c r="K59" s="13"/>
    </row>
    <row r="60" spans="2:11" ht="17.25">
      <c r="B60" s="90" t="s">
        <v>43</v>
      </c>
      <c r="C60" s="136">
        <f>+C56+C58</f>
        <v>1</v>
      </c>
      <c r="D60" s="90" t="s">
        <v>0</v>
      </c>
      <c r="E60" s="90" t="s">
        <v>0</v>
      </c>
      <c r="F60" s="137" t="s">
        <v>0</v>
      </c>
      <c r="G60" s="133">
        <f>+G56+G58</f>
        <v>8.8108919999999993E-2</v>
      </c>
      <c r="H60" s="13"/>
      <c r="I60" s="13"/>
      <c r="J60" s="13"/>
      <c r="K60" s="13"/>
    </row>
    <row r="61" spans="2:11" ht="18" thickBot="1">
      <c r="B61" s="63"/>
      <c r="C61" s="63"/>
      <c r="D61" s="63"/>
      <c r="E61" s="63"/>
      <c r="F61" s="63"/>
      <c r="G61" s="138"/>
      <c r="H61" s="13"/>
      <c r="I61" s="13"/>
      <c r="J61" s="13"/>
      <c r="K61" s="13"/>
    </row>
    <row r="62" spans="2:11" ht="18" thickBot="1">
      <c r="B62" s="13"/>
      <c r="C62" s="13"/>
      <c r="D62" s="13"/>
      <c r="E62" s="13"/>
      <c r="F62" s="186" t="s">
        <v>107</v>
      </c>
      <c r="G62" s="171">
        <v>8.8099999999999998E-2</v>
      </c>
      <c r="H62" s="13"/>
      <c r="I62" s="13"/>
      <c r="J62" s="13"/>
      <c r="K62" s="13"/>
    </row>
    <row r="63" spans="2:11" ht="15.75" thickBot="1"/>
    <row r="64" spans="2:11" ht="18" thickBot="1">
      <c r="F64" s="186" t="s">
        <v>256</v>
      </c>
      <c r="G64" s="215">
        <f>1/G62</f>
        <v>11.350737797956867</v>
      </c>
    </row>
  </sheetData>
  <pageMargins left="0.25" right="0.25" top="0.75" bottom="0.75" header="0.3" footer="0.3"/>
  <pageSetup scale="72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M86"/>
  <sheetViews>
    <sheetView view="pageBreakPreview" zoomScale="80" zoomScaleNormal="80" zoomScaleSheetLayoutView="80" zoomScalePageLayoutView="70" workbookViewId="0">
      <pane xSplit="1" topLeftCell="B1" activePane="topRight" state="frozen"/>
      <selection activeCell="N13" sqref="N13"/>
      <selection pane="topRight" activeCell="F4" sqref="F4:F5"/>
    </sheetView>
  </sheetViews>
  <sheetFormatPr defaultRowHeight="15"/>
  <cols>
    <col min="1" max="1" width="63" customWidth="1"/>
    <col min="2" max="2" width="11.5703125" bestFit="1" customWidth="1"/>
    <col min="3" max="3" width="26.42578125" customWidth="1"/>
    <col min="4" max="4" width="25.5703125" bestFit="1" customWidth="1"/>
    <col min="5" max="5" width="28" customWidth="1"/>
    <col min="6" max="7" width="29.140625" customWidth="1"/>
    <col min="8" max="8" width="31.85546875" customWidth="1"/>
    <col min="9" max="9" width="31.5703125" customWidth="1"/>
    <col min="10" max="10" width="30.85546875" customWidth="1"/>
    <col min="11" max="11" width="12.85546875" customWidth="1"/>
    <col min="12" max="12" width="25.85546875" bestFit="1" customWidth="1"/>
    <col min="13" max="13" width="30.140625" bestFit="1" customWidth="1"/>
    <col min="14" max="14" width="9.140625" customWidth="1"/>
  </cols>
  <sheetData>
    <row r="1" spans="1:12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6.5">
      <c r="A3" s="27" t="s">
        <v>475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ht="16.5">
      <c r="A4" s="27"/>
      <c r="B4" s="13"/>
      <c r="C4" s="13"/>
      <c r="D4" s="13"/>
      <c r="E4" s="13"/>
      <c r="F4" s="461" t="s">
        <v>0</v>
      </c>
      <c r="G4" s="13"/>
      <c r="H4" s="13"/>
      <c r="I4" s="13"/>
      <c r="J4" s="13"/>
      <c r="K4" s="13"/>
    </row>
    <row r="5" spans="1:12" ht="16.5">
      <c r="B5" s="13"/>
      <c r="C5" s="13"/>
      <c r="D5" s="13"/>
      <c r="E5" s="28"/>
      <c r="F5" s="461" t="s">
        <v>0</v>
      </c>
      <c r="G5" s="13"/>
      <c r="H5" s="13"/>
      <c r="I5" s="13"/>
      <c r="J5" s="13"/>
      <c r="K5" s="13" t="s">
        <v>0</v>
      </c>
    </row>
    <row r="6" spans="1:12" ht="16.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ht="16.5">
      <c r="A7" s="13"/>
      <c r="B7" s="35"/>
      <c r="C7" s="35"/>
      <c r="D7" s="35"/>
      <c r="E7" s="35"/>
      <c r="F7" s="35"/>
      <c r="G7" s="15"/>
      <c r="H7" s="44"/>
      <c r="I7" s="44"/>
      <c r="J7" s="85"/>
      <c r="K7" s="85"/>
      <c r="L7" s="3"/>
    </row>
    <row r="8" spans="1:12" ht="16.5">
      <c r="A8" s="86"/>
      <c r="B8" s="35"/>
      <c r="C8" s="35"/>
      <c r="D8" s="35"/>
      <c r="E8" s="35"/>
      <c r="F8" s="35"/>
      <c r="G8" s="15"/>
      <c r="H8" s="44"/>
      <c r="I8" s="44"/>
      <c r="J8" s="85"/>
      <c r="K8" s="85"/>
      <c r="L8" s="3"/>
    </row>
    <row r="9" spans="1:12" ht="16.5">
      <c r="A9" s="86"/>
      <c r="B9" s="35"/>
      <c r="C9" s="35"/>
      <c r="D9" s="35"/>
      <c r="E9" s="35"/>
      <c r="F9" s="35"/>
      <c r="G9" s="15"/>
      <c r="H9" s="44"/>
      <c r="I9" s="44"/>
      <c r="J9" s="85"/>
      <c r="K9" s="85"/>
      <c r="L9" s="3"/>
    </row>
    <row r="10" spans="1:12" ht="16.5">
      <c r="A10" s="44"/>
      <c r="D10" s="44"/>
      <c r="E10" s="44"/>
      <c r="F10" s="44"/>
      <c r="G10" s="44"/>
      <c r="H10" s="44"/>
      <c r="I10" s="44"/>
      <c r="J10" s="44"/>
      <c r="K10" s="44"/>
      <c r="L10" s="2"/>
    </row>
    <row r="11" spans="1:12" ht="17.25" thickBot="1">
      <c r="A11" s="44"/>
      <c r="D11" s="44"/>
      <c r="E11" s="87"/>
      <c r="F11" s="30"/>
      <c r="G11" s="87"/>
      <c r="H11" s="44"/>
      <c r="I11" s="44"/>
      <c r="J11" s="44"/>
      <c r="K11" s="44"/>
      <c r="L11" s="2"/>
    </row>
    <row r="12" spans="1:12" ht="27" thickBot="1">
      <c r="A12" s="29" t="s">
        <v>403</v>
      </c>
      <c r="D12" s="44"/>
      <c r="E12" s="44"/>
      <c r="F12" s="32" t="s">
        <v>108</v>
      </c>
      <c r="G12" s="44"/>
      <c r="H12" s="44"/>
      <c r="I12" s="44"/>
      <c r="J12" s="44"/>
      <c r="K12" s="13"/>
    </row>
    <row r="13" spans="1:12" ht="21" thickBot="1">
      <c r="A13" s="31"/>
      <c r="D13" s="44"/>
      <c r="E13" s="87"/>
      <c r="F13" s="33" t="s">
        <v>488</v>
      </c>
      <c r="G13" s="87"/>
      <c r="H13" s="44"/>
      <c r="I13" s="44"/>
      <c r="J13" s="44" t="s">
        <v>0</v>
      </c>
      <c r="K13" s="13"/>
    </row>
    <row r="14" spans="1:12" ht="20.25">
      <c r="A14" s="31"/>
      <c r="B14" s="44"/>
      <c r="C14" s="44"/>
      <c r="D14" s="44"/>
      <c r="E14" s="44"/>
      <c r="F14" s="14" t="s">
        <v>0</v>
      </c>
      <c r="G14" s="44"/>
      <c r="H14" s="44"/>
      <c r="I14" s="44"/>
      <c r="J14" s="44"/>
      <c r="K14" s="13"/>
    </row>
    <row r="15" spans="1:12" ht="17.25" thickBot="1">
      <c r="A15" s="42" t="s">
        <v>0</v>
      </c>
      <c r="B15" s="42" t="s">
        <v>0</v>
      </c>
      <c r="C15" s="42" t="s">
        <v>0</v>
      </c>
      <c r="D15" s="42"/>
      <c r="E15" s="42"/>
      <c r="F15" s="42"/>
      <c r="G15" s="42" t="s">
        <v>0</v>
      </c>
      <c r="H15" s="87"/>
      <c r="I15" s="87"/>
      <c r="J15" s="87"/>
      <c r="K15" s="13"/>
    </row>
    <row r="16" spans="1:12" ht="17.25">
      <c r="A16" s="88"/>
      <c r="B16" s="89"/>
      <c r="C16" s="231"/>
      <c r="D16" s="91" t="s">
        <v>13</v>
      </c>
      <c r="E16" s="92" t="s">
        <v>13</v>
      </c>
      <c r="F16" s="91" t="s">
        <v>13</v>
      </c>
      <c r="G16" s="90" t="s">
        <v>265</v>
      </c>
      <c r="H16" s="356" t="s">
        <v>489</v>
      </c>
      <c r="I16" s="93" t="s">
        <v>489</v>
      </c>
      <c r="J16" s="356" t="s">
        <v>489</v>
      </c>
      <c r="K16" s="13"/>
    </row>
    <row r="17" spans="1:13" ht="17.25">
      <c r="A17" s="460" t="s">
        <v>0</v>
      </c>
      <c r="B17" s="89" t="s">
        <v>3</v>
      </c>
      <c r="C17" s="89" t="s">
        <v>5</v>
      </c>
      <c r="D17" s="91" t="s">
        <v>10</v>
      </c>
      <c r="E17" s="92" t="s">
        <v>10</v>
      </c>
      <c r="F17" s="91" t="s">
        <v>19</v>
      </c>
      <c r="G17" s="93" t="s">
        <v>489</v>
      </c>
      <c r="H17" s="89" t="s">
        <v>12</v>
      </c>
      <c r="I17" s="236" t="s">
        <v>11</v>
      </c>
      <c r="J17" s="94" t="s">
        <v>176</v>
      </c>
      <c r="K17" s="13"/>
    </row>
    <row r="18" spans="1:13" ht="17.25">
      <c r="A18" s="88" t="s">
        <v>2</v>
      </c>
      <c r="B18" s="89" t="s">
        <v>4</v>
      </c>
      <c r="C18" s="89" t="s">
        <v>6</v>
      </c>
      <c r="D18" s="91" t="s">
        <v>64</v>
      </c>
      <c r="E18" s="92" t="s">
        <v>65</v>
      </c>
      <c r="F18" s="91" t="s">
        <v>10</v>
      </c>
      <c r="G18" s="93" t="s">
        <v>10</v>
      </c>
      <c r="H18" s="89" t="s">
        <v>106</v>
      </c>
      <c r="I18" s="184"/>
      <c r="J18" s="94" t="s">
        <v>266</v>
      </c>
      <c r="K18" s="13" t="s">
        <v>0</v>
      </c>
    </row>
    <row r="19" spans="1:13" ht="18" thickBot="1">
      <c r="A19" s="95" t="s">
        <v>0</v>
      </c>
      <c r="B19" s="96" t="s">
        <v>0</v>
      </c>
      <c r="C19" s="96" t="s">
        <v>0</v>
      </c>
      <c r="D19" s="96" t="s">
        <v>0</v>
      </c>
      <c r="E19" s="97" t="s">
        <v>0</v>
      </c>
      <c r="F19" s="96" t="s">
        <v>0</v>
      </c>
      <c r="G19" s="97" t="s">
        <v>0</v>
      </c>
      <c r="H19" s="98" t="s">
        <v>95</v>
      </c>
      <c r="I19" s="99" t="s">
        <v>94</v>
      </c>
      <c r="J19" s="98" t="s">
        <v>94</v>
      </c>
      <c r="K19" s="13"/>
    </row>
    <row r="20" spans="1:13" ht="16.5">
      <c r="A20" s="100" t="s">
        <v>7</v>
      </c>
      <c r="B20" s="101" t="s">
        <v>7</v>
      </c>
      <c r="C20" s="101" t="s">
        <v>7</v>
      </c>
      <c r="D20" s="101" t="s">
        <v>7</v>
      </c>
      <c r="E20" s="43" t="s">
        <v>7</v>
      </c>
      <c r="F20" s="101" t="s">
        <v>15</v>
      </c>
      <c r="G20" s="43" t="s">
        <v>7</v>
      </c>
      <c r="H20" s="101" t="s">
        <v>8</v>
      </c>
      <c r="I20" s="43" t="s">
        <v>8</v>
      </c>
      <c r="J20" s="101" t="s">
        <v>8</v>
      </c>
      <c r="K20" s="13"/>
    </row>
    <row r="21" spans="1:13" ht="17.25">
      <c r="A21" s="88"/>
      <c r="B21" s="89"/>
      <c r="C21" s="89"/>
      <c r="D21" s="89"/>
      <c r="E21" s="90"/>
      <c r="F21" s="89"/>
      <c r="G21" s="90"/>
      <c r="H21" s="89"/>
      <c r="I21" s="63"/>
      <c r="J21" s="102"/>
      <c r="K21" s="13"/>
    </row>
    <row r="22" spans="1:13" ht="17.25">
      <c r="A22" s="103" t="s">
        <v>44</v>
      </c>
      <c r="B22" s="80" t="s">
        <v>53</v>
      </c>
      <c r="C22" s="80" t="s">
        <v>393</v>
      </c>
      <c r="D22" s="105">
        <v>69.75</v>
      </c>
      <c r="E22" s="60">
        <v>64.3</v>
      </c>
      <c r="F22" s="105">
        <f t="shared" ref="F22:F36" si="0">AVERAGE(D22,E22)</f>
        <v>67.025000000000006</v>
      </c>
      <c r="G22" s="60">
        <v>65.010000000000005</v>
      </c>
      <c r="H22" s="281">
        <v>257137261</v>
      </c>
      <c r="I22" s="286"/>
      <c r="J22" s="281">
        <f>10954000000+1074000000</f>
        <v>12028000000</v>
      </c>
      <c r="K22" s="13"/>
    </row>
    <row r="23" spans="1:13" ht="17.25">
      <c r="A23" s="103" t="s">
        <v>384</v>
      </c>
      <c r="B23" s="80" t="s">
        <v>57</v>
      </c>
      <c r="C23" s="80" t="s">
        <v>393</v>
      </c>
      <c r="D23" s="105">
        <v>106.73</v>
      </c>
      <c r="E23" s="60">
        <v>96.57</v>
      </c>
      <c r="F23" s="105">
        <f t="shared" si="0"/>
        <v>101.65</v>
      </c>
      <c r="G23" s="60">
        <v>99.86</v>
      </c>
      <c r="H23" s="281">
        <v>276400000</v>
      </c>
      <c r="I23" s="286"/>
      <c r="J23" s="281">
        <f>973000000+18214000000</f>
        <v>19187000000</v>
      </c>
      <c r="K23" s="13"/>
    </row>
    <row r="24" spans="1:13" ht="17.25">
      <c r="A24" s="103" t="s">
        <v>46</v>
      </c>
      <c r="B24" s="80" t="s">
        <v>58</v>
      </c>
      <c r="C24" s="80" t="s">
        <v>393</v>
      </c>
      <c r="D24" s="105">
        <v>124.8</v>
      </c>
      <c r="E24" s="60">
        <v>113.34</v>
      </c>
      <c r="F24" s="105">
        <f t="shared" si="0"/>
        <v>119.07</v>
      </c>
      <c r="G24" s="60">
        <v>115.31</v>
      </c>
      <c r="H24" s="281">
        <f>542048288-1186815</f>
        <v>540861473</v>
      </c>
      <c r="I24" s="286">
        <v>38000000</v>
      </c>
      <c r="J24" s="281">
        <f>44128000000+3194000000</f>
        <v>47322000000</v>
      </c>
      <c r="K24" s="13"/>
    </row>
    <row r="25" spans="1:13" ht="17.25">
      <c r="A25" s="106" t="s">
        <v>47</v>
      </c>
      <c r="B25" s="80" t="s">
        <v>59</v>
      </c>
      <c r="C25" s="80" t="s">
        <v>393</v>
      </c>
      <c r="D25" s="105">
        <v>40.49</v>
      </c>
      <c r="E25" s="60">
        <v>37.22</v>
      </c>
      <c r="F25" s="105">
        <f t="shared" si="0"/>
        <v>38.855000000000004</v>
      </c>
      <c r="G25" s="60">
        <v>38.340000000000003</v>
      </c>
      <c r="H25" s="281">
        <v>652869575</v>
      </c>
      <c r="I25" s="286"/>
      <c r="J25" s="281">
        <f>41000000+1873000000+20566000000</f>
        <v>22480000000</v>
      </c>
      <c r="K25" s="13"/>
    </row>
    <row r="26" spans="1:13" ht="17.25">
      <c r="A26" s="103" t="s">
        <v>48</v>
      </c>
      <c r="B26" s="80" t="s">
        <v>54</v>
      </c>
      <c r="C26" s="80" t="s">
        <v>393</v>
      </c>
      <c r="D26" s="105">
        <v>76.11</v>
      </c>
      <c r="E26" s="60">
        <v>68.819999999999993</v>
      </c>
      <c r="F26" s="105">
        <f t="shared" si="0"/>
        <v>72.465000000000003</v>
      </c>
      <c r="G26" s="60">
        <v>69.930000000000007</v>
      </c>
      <c r="H26" s="286">
        <v>306400000</v>
      </c>
      <c r="I26" s="286">
        <v>224000000</v>
      </c>
      <c r="J26" s="281">
        <f>956000000+17807000000+135000000</f>
        <v>18898000000</v>
      </c>
      <c r="K26" s="13"/>
      <c r="M26" s="10" t="s">
        <v>0</v>
      </c>
    </row>
    <row r="27" spans="1:13" ht="17.25">
      <c r="A27" s="103" t="s">
        <v>49</v>
      </c>
      <c r="B27" s="80" t="s">
        <v>55</v>
      </c>
      <c r="C27" s="80" t="s">
        <v>393</v>
      </c>
      <c r="D27" s="105">
        <v>143.79</v>
      </c>
      <c r="E27" s="60">
        <v>126.23</v>
      </c>
      <c r="F27" s="105">
        <f t="shared" si="0"/>
        <v>135.01</v>
      </c>
      <c r="G27" s="60">
        <v>128.97999999999999</v>
      </c>
      <c r="H27" s="281">
        <v>207745154</v>
      </c>
      <c r="I27" s="286"/>
      <c r="J27" s="281">
        <f>21736000000+1356000000</f>
        <v>23092000000</v>
      </c>
      <c r="K27" s="13"/>
    </row>
    <row r="28" spans="1:13" ht="17.25">
      <c r="A28" s="103" t="s">
        <v>73</v>
      </c>
      <c r="B28" s="80" t="s">
        <v>66</v>
      </c>
      <c r="C28" s="80" t="s">
        <v>392</v>
      </c>
      <c r="D28" s="105">
        <v>130.03</v>
      </c>
      <c r="E28" s="60">
        <v>113.9</v>
      </c>
      <c r="F28" s="105">
        <f t="shared" si="0"/>
        <v>121.965</v>
      </c>
      <c r="G28" s="60">
        <v>117.21</v>
      </c>
      <c r="H28" s="281">
        <v>778000000</v>
      </c>
      <c r="I28" s="286">
        <v>973000000</v>
      </c>
      <c r="J28" s="281">
        <f>80108000000+7104000000</f>
        <v>87212000000</v>
      </c>
      <c r="K28" s="13"/>
    </row>
    <row r="29" spans="1:13" ht="17.25">
      <c r="A29" s="103" t="s">
        <v>67</v>
      </c>
      <c r="B29" s="80" t="s">
        <v>68</v>
      </c>
      <c r="C29" s="80" t="s">
        <v>393</v>
      </c>
      <c r="D29" s="105">
        <v>98.58</v>
      </c>
      <c r="E29" s="60">
        <v>90.87</v>
      </c>
      <c r="F29" s="105">
        <f t="shared" si="0"/>
        <v>94.724999999999994</v>
      </c>
      <c r="G29" s="60">
        <v>92.43</v>
      </c>
      <c r="H29" s="281">
        <f>583203774-130864409</f>
        <v>452339365</v>
      </c>
      <c r="I29" s="286"/>
      <c r="J29" s="281">
        <f>221139000+2375140000</f>
        <v>2596279000</v>
      </c>
      <c r="K29" s="13"/>
    </row>
    <row r="30" spans="1:13" ht="17.25">
      <c r="A30" s="103" t="s">
        <v>282</v>
      </c>
      <c r="B30" s="80" t="s">
        <v>283</v>
      </c>
      <c r="C30" s="80" t="s">
        <v>393</v>
      </c>
      <c r="D30" s="105">
        <v>79.319999999999993</v>
      </c>
      <c r="E30" s="60">
        <v>71.930000000000007</v>
      </c>
      <c r="F30" s="105">
        <f t="shared" si="0"/>
        <v>75.625</v>
      </c>
      <c r="G30" s="60">
        <v>72.489999999999995</v>
      </c>
      <c r="H30" s="281">
        <v>230262674</v>
      </c>
      <c r="I30" s="286"/>
      <c r="J30" s="281">
        <f>350000000+4883100000</f>
        <v>5233100000</v>
      </c>
      <c r="K30" s="13"/>
    </row>
    <row r="31" spans="1:13" ht="17.25">
      <c r="A31" s="103" t="s">
        <v>77</v>
      </c>
      <c r="B31" s="80" t="s">
        <v>78</v>
      </c>
      <c r="C31" s="80" t="s">
        <v>392</v>
      </c>
      <c r="D31" s="105">
        <v>48.2</v>
      </c>
      <c r="E31" s="60">
        <v>43.88</v>
      </c>
      <c r="F31" s="105">
        <f t="shared" si="0"/>
        <v>46.040000000000006</v>
      </c>
      <c r="G31" s="60">
        <v>44.77</v>
      </c>
      <c r="H31" s="281">
        <v>578000000</v>
      </c>
      <c r="I31" s="286"/>
      <c r="J31" s="281">
        <f>75000000+6629000000</f>
        <v>6704000000</v>
      </c>
      <c r="K31" s="13"/>
    </row>
    <row r="32" spans="1:13" ht="17.25">
      <c r="A32" s="103" t="s">
        <v>50</v>
      </c>
      <c r="B32" s="80" t="s">
        <v>56</v>
      </c>
      <c r="C32" s="80" t="s">
        <v>393</v>
      </c>
      <c r="D32" s="105">
        <v>47.33</v>
      </c>
      <c r="E32" s="60">
        <v>42.23</v>
      </c>
      <c r="F32" s="105">
        <f t="shared" si="0"/>
        <v>44.78</v>
      </c>
      <c r="G32" s="60">
        <v>42.7</v>
      </c>
      <c r="H32" s="281">
        <v>40400000</v>
      </c>
      <c r="I32" s="286"/>
      <c r="J32" s="281">
        <f>4961700000</f>
        <v>4961700000</v>
      </c>
      <c r="K32" s="13"/>
    </row>
    <row r="33" spans="1:12" ht="17.25">
      <c r="A33" s="103" t="s">
        <v>51</v>
      </c>
      <c r="B33" s="80" t="s">
        <v>60</v>
      </c>
      <c r="C33" s="80" t="s">
        <v>393</v>
      </c>
      <c r="D33" s="105">
        <v>86.48</v>
      </c>
      <c r="E33" s="60">
        <v>74.150000000000006</v>
      </c>
      <c r="F33" s="105">
        <f t="shared" si="0"/>
        <v>80.314999999999998</v>
      </c>
      <c r="G33" s="60">
        <v>80.81</v>
      </c>
      <c r="H33" s="281">
        <v>41905520</v>
      </c>
      <c r="I33" s="286"/>
      <c r="J33" s="281">
        <f>79951000+963566000</f>
        <v>1043517000</v>
      </c>
      <c r="K33" s="13"/>
    </row>
    <row r="34" spans="1:12" ht="17.25">
      <c r="A34" s="103" t="s">
        <v>74</v>
      </c>
      <c r="B34" s="80" t="s">
        <v>70</v>
      </c>
      <c r="C34" s="80" t="s">
        <v>392</v>
      </c>
      <c r="D34" s="105">
        <v>38.270000000000003</v>
      </c>
      <c r="E34" s="60">
        <v>33.17</v>
      </c>
      <c r="F34" s="105">
        <f t="shared" si="0"/>
        <v>35.72</v>
      </c>
      <c r="G34" s="60">
        <v>35.020000000000003</v>
      </c>
      <c r="H34" s="281">
        <v>751041000</v>
      </c>
      <c r="I34" s="286"/>
      <c r="J34" s="281">
        <f>904000000+17990000000</f>
        <v>18894000000</v>
      </c>
      <c r="K34" s="13"/>
    </row>
    <row r="35" spans="1:12" ht="17.25">
      <c r="A35" s="103" t="s">
        <v>429</v>
      </c>
      <c r="B35" s="80" t="s">
        <v>72</v>
      </c>
      <c r="C35" s="80" t="s">
        <v>392</v>
      </c>
      <c r="D35" s="105">
        <v>100.84</v>
      </c>
      <c r="E35" s="60">
        <v>83.8</v>
      </c>
      <c r="F35" s="105">
        <f t="shared" si="0"/>
        <v>92.32</v>
      </c>
      <c r="G35" s="60">
        <v>87.2</v>
      </c>
      <c r="H35" s="281">
        <v>1099000000</v>
      </c>
      <c r="I35" s="286"/>
      <c r="J35" s="281">
        <v>65649000000</v>
      </c>
      <c r="K35" s="13"/>
    </row>
    <row r="36" spans="1:12" ht="18" thickBot="1">
      <c r="A36" s="107" t="s">
        <v>52</v>
      </c>
      <c r="B36" s="81" t="s">
        <v>61</v>
      </c>
      <c r="C36" s="81" t="s">
        <v>393</v>
      </c>
      <c r="D36" s="440">
        <v>118.19</v>
      </c>
      <c r="E36" s="440">
        <v>109.25</v>
      </c>
      <c r="F36" s="108">
        <f t="shared" si="0"/>
        <v>113.72</v>
      </c>
      <c r="G36" s="280">
        <v>105.46</v>
      </c>
      <c r="H36" s="284">
        <v>325461519</v>
      </c>
      <c r="I36" s="109">
        <v>30400000</v>
      </c>
      <c r="J36" s="284">
        <f>1519400000+18498100000+372000000</f>
        <v>20389500000</v>
      </c>
      <c r="K36" s="13"/>
    </row>
    <row r="37" spans="1:12" ht="17.25">
      <c r="A37" s="110"/>
      <c r="B37" s="110"/>
      <c r="C37" s="110"/>
      <c r="D37" s="110"/>
      <c r="E37" s="110"/>
      <c r="F37" s="110"/>
      <c r="G37" s="110"/>
      <c r="H37" s="110"/>
      <c r="I37" s="110"/>
      <c r="J37" s="110"/>
      <c r="K37" s="13"/>
    </row>
    <row r="38" spans="1:12" ht="17.25">
      <c r="B38" s="110"/>
      <c r="C38" s="110"/>
      <c r="D38" s="110"/>
      <c r="E38" s="110"/>
      <c r="F38" s="110"/>
      <c r="G38" s="110"/>
      <c r="H38" s="110"/>
      <c r="I38" s="110"/>
      <c r="J38" s="110" t="s">
        <v>0</v>
      </c>
      <c r="K38" s="13"/>
    </row>
    <row r="39" spans="1:12" ht="18" thickBot="1">
      <c r="A39" s="459" t="s">
        <v>0</v>
      </c>
      <c r="B39" s="111"/>
      <c r="C39" s="111"/>
      <c r="D39" s="111"/>
      <c r="E39" s="111"/>
      <c r="F39" s="30"/>
      <c r="G39" s="111"/>
      <c r="H39" s="111"/>
      <c r="I39" s="111"/>
      <c r="J39" s="110"/>
      <c r="K39" s="110"/>
      <c r="L39" s="4"/>
    </row>
    <row r="40" spans="1:12" ht="17.25">
      <c r="A40" s="112"/>
      <c r="B40" s="113"/>
      <c r="C40" s="352"/>
      <c r="D40" s="352"/>
      <c r="E40" s="356" t="s">
        <v>0</v>
      </c>
      <c r="F40" s="356" t="s">
        <v>0</v>
      </c>
      <c r="G40" s="196"/>
      <c r="H40" s="352"/>
      <c r="I40" s="352"/>
      <c r="J40" s="352"/>
      <c r="K40" s="110"/>
      <c r="L40" s="4"/>
    </row>
    <row r="41" spans="1:12" ht="17.25">
      <c r="A41" s="88"/>
      <c r="B41" s="90"/>
      <c r="C41" s="89"/>
      <c r="D41" s="353" t="s">
        <v>489</v>
      </c>
      <c r="E41" s="353" t="s">
        <v>489</v>
      </c>
      <c r="F41" s="353" t="s">
        <v>489</v>
      </c>
      <c r="G41" s="353" t="s">
        <v>489</v>
      </c>
      <c r="H41" s="353" t="s">
        <v>489</v>
      </c>
      <c r="I41" s="353" t="s">
        <v>489</v>
      </c>
      <c r="J41" s="353" t="s">
        <v>489</v>
      </c>
      <c r="K41" s="13"/>
      <c r="L41" s="5"/>
    </row>
    <row r="42" spans="1:12" ht="17.25">
      <c r="A42" s="88" t="s">
        <v>0</v>
      </c>
      <c r="B42" s="90" t="s">
        <v>3</v>
      </c>
      <c r="C42" s="89" t="s">
        <v>5</v>
      </c>
      <c r="D42" s="89" t="s">
        <v>12</v>
      </c>
      <c r="E42" s="94" t="s">
        <v>175</v>
      </c>
      <c r="F42" s="94" t="s">
        <v>304</v>
      </c>
      <c r="G42" s="89" t="s">
        <v>233</v>
      </c>
      <c r="H42" s="94" t="s">
        <v>16</v>
      </c>
      <c r="I42" s="94" t="s">
        <v>17</v>
      </c>
      <c r="J42" s="94" t="s">
        <v>82</v>
      </c>
      <c r="K42" s="13"/>
      <c r="L42" s="5"/>
    </row>
    <row r="43" spans="1:12" ht="18" thickBot="1">
      <c r="A43" s="95" t="s">
        <v>2</v>
      </c>
      <c r="B43" s="97" t="s">
        <v>4</v>
      </c>
      <c r="C43" s="96" t="s">
        <v>6</v>
      </c>
      <c r="D43" s="96" t="s">
        <v>14</v>
      </c>
      <c r="E43" s="96" t="s">
        <v>14</v>
      </c>
      <c r="F43" s="96" t="s">
        <v>317</v>
      </c>
      <c r="G43" s="96" t="s">
        <v>14</v>
      </c>
      <c r="H43" s="96" t="s">
        <v>370</v>
      </c>
      <c r="I43" s="96" t="s">
        <v>0</v>
      </c>
      <c r="J43" s="96" t="s">
        <v>369</v>
      </c>
      <c r="K43" s="13"/>
      <c r="L43" s="1"/>
    </row>
    <row r="44" spans="1:12" ht="16.5">
      <c r="A44" s="100" t="s">
        <v>7</v>
      </c>
      <c r="B44" s="43" t="s">
        <v>7</v>
      </c>
      <c r="C44" s="101" t="s">
        <v>7</v>
      </c>
      <c r="D44" s="101" t="s">
        <v>15</v>
      </c>
      <c r="E44" s="101" t="s">
        <v>8</v>
      </c>
      <c r="F44" s="101" t="s">
        <v>8</v>
      </c>
      <c r="G44" s="101" t="s">
        <v>8</v>
      </c>
      <c r="H44" s="101" t="s">
        <v>15</v>
      </c>
      <c r="I44" s="101" t="s">
        <v>15</v>
      </c>
      <c r="J44" s="101" t="s">
        <v>15</v>
      </c>
      <c r="K44" s="13"/>
      <c r="L44" s="5"/>
    </row>
    <row r="45" spans="1:12" ht="17.25">
      <c r="A45" s="88"/>
      <c r="B45" s="90"/>
      <c r="C45" s="89"/>
      <c r="D45" s="357"/>
      <c r="E45" s="357"/>
      <c r="F45" s="357"/>
      <c r="G45" s="357"/>
      <c r="H45" s="102"/>
      <c r="I45" s="102"/>
      <c r="J45" s="102"/>
      <c r="K45" s="13"/>
      <c r="L45" s="4"/>
    </row>
    <row r="46" spans="1:12" ht="17.25">
      <c r="A46" s="103" t="str">
        <f t="shared" ref="A46:C55" si="1">+A22</f>
        <v>Alliant Energy</v>
      </c>
      <c r="B46" s="90" t="str">
        <f t="shared" si="1"/>
        <v>LNT</v>
      </c>
      <c r="C46" s="89" t="str">
        <f t="shared" si="1"/>
        <v>Electric Utility - Cent</v>
      </c>
      <c r="D46" s="358">
        <f t="shared" ref="D46:D55" si="2">(+H22)*G22</f>
        <v>16716493337.610001</v>
      </c>
      <c r="E46" s="358">
        <f>(194.8/200)*I22</f>
        <v>0</v>
      </c>
      <c r="F46" s="358">
        <v>21000000</v>
      </c>
      <c r="G46" s="358">
        <f>(4445/4680)*J22</f>
        <v>11424029914.529915</v>
      </c>
      <c r="H46" s="281">
        <f>+D46+E46+F46+G46</f>
        <v>28161523252.139915</v>
      </c>
      <c r="I46" s="354">
        <f t="shared" ref="I46:I60" si="3">(+D46)/H46</f>
        <v>0.59359336453292744</v>
      </c>
      <c r="J46" s="354">
        <f>(+E46+F46+G46)/H46</f>
        <v>0.40640663546707256</v>
      </c>
      <c r="K46" s="13"/>
      <c r="L46" s="4"/>
    </row>
    <row r="47" spans="1:12" ht="17.25">
      <c r="A47" s="103" t="str">
        <f t="shared" si="1"/>
        <v>AMEREN Corporation</v>
      </c>
      <c r="B47" s="90" t="str">
        <f t="shared" si="1"/>
        <v>AEE</v>
      </c>
      <c r="C47" s="89" t="str">
        <f t="shared" si="1"/>
        <v>Electric Utility - Cent</v>
      </c>
      <c r="D47" s="358">
        <f t="shared" si="2"/>
        <v>27601304000</v>
      </c>
      <c r="E47" s="358">
        <f t="shared" ref="E47:E55" si="4">(1/1)*I23</f>
        <v>0</v>
      </c>
      <c r="F47" s="358"/>
      <c r="G47" s="358">
        <f>(17433/19187)*J23</f>
        <v>17433000000</v>
      </c>
      <c r="H47" s="281">
        <f t="shared" ref="H47:H60" si="5">+D47+E47+F47+G47</f>
        <v>45034304000</v>
      </c>
      <c r="I47" s="354">
        <f t="shared" si="3"/>
        <v>0.61289509437072687</v>
      </c>
      <c r="J47" s="354">
        <f t="shared" ref="J47:J60" si="6">(+E47+F47+G47)/H47</f>
        <v>0.38710490562927319</v>
      </c>
      <c r="K47" s="13"/>
      <c r="L47" s="4"/>
    </row>
    <row r="48" spans="1:12" ht="17.25">
      <c r="A48" s="103" t="str">
        <f t="shared" si="1"/>
        <v>American Electric Power</v>
      </c>
      <c r="B48" s="90" t="str">
        <f t="shared" si="1"/>
        <v>AEP</v>
      </c>
      <c r="C48" s="89" t="str">
        <f t="shared" si="1"/>
        <v>Electric Utility - Cent</v>
      </c>
      <c r="D48" s="358">
        <f t="shared" si="2"/>
        <v>62366736451.630005</v>
      </c>
      <c r="E48" s="358">
        <f t="shared" si="4"/>
        <v>38000000</v>
      </c>
      <c r="F48" s="358">
        <v>137000000</v>
      </c>
      <c r="G48" s="358">
        <f>(44930/47322)*J24</f>
        <v>44930000000</v>
      </c>
      <c r="H48" s="281">
        <f t="shared" si="5"/>
        <v>107471736451.63</v>
      </c>
      <c r="I48" s="354">
        <f t="shared" si="3"/>
        <v>0.58030826067186059</v>
      </c>
      <c r="J48" s="354">
        <f t="shared" si="6"/>
        <v>0.41969173932813941</v>
      </c>
      <c r="K48" s="13"/>
      <c r="L48" s="4"/>
    </row>
    <row r="49" spans="1:12" ht="17.25">
      <c r="A49" s="103" t="str">
        <f t="shared" si="1"/>
        <v>Centerpoint Energy</v>
      </c>
      <c r="B49" s="90" t="str">
        <f t="shared" si="1"/>
        <v>CNP</v>
      </c>
      <c r="C49" s="89" t="str">
        <f t="shared" si="1"/>
        <v>Electric Utility - Cent</v>
      </c>
      <c r="D49" s="358">
        <f t="shared" si="2"/>
        <v>25031019505.500004</v>
      </c>
      <c r="E49" s="358">
        <f t="shared" si="4"/>
        <v>0</v>
      </c>
      <c r="F49" s="358">
        <v>62000000</v>
      </c>
      <c r="G49" s="439">
        <f>(22980/22377)*J25</f>
        <v>23085775573.133125</v>
      </c>
      <c r="H49" s="281">
        <f t="shared" si="5"/>
        <v>48178795078.633133</v>
      </c>
      <c r="I49" s="354">
        <f t="shared" si="3"/>
        <v>0.51954432369357939</v>
      </c>
      <c r="J49" s="354">
        <f t="shared" si="6"/>
        <v>0.4804556763064205</v>
      </c>
      <c r="K49" s="13"/>
      <c r="L49" s="4"/>
    </row>
    <row r="50" spans="1:12" ht="17.25">
      <c r="A50" s="103" t="str">
        <f t="shared" si="1"/>
        <v>CMS Energy</v>
      </c>
      <c r="B50" s="90" t="str">
        <f t="shared" si="1"/>
        <v>CMS</v>
      </c>
      <c r="C50" s="89" t="str">
        <f t="shared" si="1"/>
        <v>Electric Utility - Cent</v>
      </c>
      <c r="D50" s="358">
        <f t="shared" si="2"/>
        <v>21426552000.000004</v>
      </c>
      <c r="E50" s="358">
        <f t="shared" si="4"/>
        <v>224000000</v>
      </c>
      <c r="F50" s="358">
        <f>3000000+19000000</f>
        <v>22000000</v>
      </c>
      <c r="G50" s="439">
        <f>(18757/17645)*J26</f>
        <v>20088964919.240578</v>
      </c>
      <c r="H50" s="281">
        <f t="shared" si="5"/>
        <v>41761516919.240585</v>
      </c>
      <c r="I50" s="354">
        <f t="shared" si="3"/>
        <v>0.51306929394914413</v>
      </c>
      <c r="J50" s="354">
        <f t="shared" si="6"/>
        <v>0.48693070605085575</v>
      </c>
      <c r="K50" s="13"/>
      <c r="L50" s="4"/>
    </row>
    <row r="51" spans="1:12" ht="17.25">
      <c r="A51" s="103" t="str">
        <f t="shared" si="1"/>
        <v>DTE Energy</v>
      </c>
      <c r="B51" s="90" t="str">
        <f t="shared" si="1"/>
        <v>DTE</v>
      </c>
      <c r="C51" s="89" t="str">
        <f t="shared" si="1"/>
        <v>Electric Utility - Cent</v>
      </c>
      <c r="D51" s="358">
        <f t="shared" si="2"/>
        <v>26794969962.919998</v>
      </c>
      <c r="E51" s="358">
        <f t="shared" si="4"/>
        <v>0</v>
      </c>
      <c r="F51" s="358">
        <v>267000000</v>
      </c>
      <c r="G51" s="358">
        <f>((12048+131)/13165)*J27</f>
        <v>21362511811.621723</v>
      </c>
      <c r="H51" s="281">
        <f t="shared" si="5"/>
        <v>48424481774.541718</v>
      </c>
      <c r="I51" s="354">
        <f t="shared" si="3"/>
        <v>0.55333519288185673</v>
      </c>
      <c r="J51" s="354">
        <f t="shared" si="6"/>
        <v>0.44666480711814333</v>
      </c>
      <c r="K51" s="13"/>
      <c r="L51" s="4"/>
    </row>
    <row r="52" spans="1:12" ht="17.25">
      <c r="A52" s="103" t="str">
        <f t="shared" si="1"/>
        <v>Duke Energy</v>
      </c>
      <c r="B52" s="90" t="str">
        <f t="shared" si="1"/>
        <v>DUK</v>
      </c>
      <c r="C52" s="89" t="str">
        <f t="shared" si="1"/>
        <v>Electric Utility - East</v>
      </c>
      <c r="D52" s="358">
        <f t="shared" si="2"/>
        <v>91189380000</v>
      </c>
      <c r="E52" s="358">
        <f t="shared" si="4"/>
        <v>973000000</v>
      </c>
      <c r="F52" s="358">
        <v>1271000000</v>
      </c>
      <c r="G52" s="358">
        <f>(79863/87212)*J28</f>
        <v>79863000000</v>
      </c>
      <c r="H52" s="281">
        <f t="shared" si="5"/>
        <v>173296380000</v>
      </c>
      <c r="I52" s="354">
        <f t="shared" si="3"/>
        <v>0.52620475973012248</v>
      </c>
      <c r="J52" s="354">
        <f t="shared" si="6"/>
        <v>0.47379524026987752</v>
      </c>
      <c r="K52" s="13"/>
      <c r="L52" s="4"/>
    </row>
    <row r="53" spans="1:12" ht="17.25">
      <c r="A53" s="103" t="str">
        <f t="shared" si="1"/>
        <v>Entergy Corp</v>
      </c>
      <c r="B53" s="90" t="str">
        <f t="shared" si="1"/>
        <v>ETR</v>
      </c>
      <c r="C53" s="89" t="str">
        <f t="shared" si="1"/>
        <v>Electric Utility - Cent</v>
      </c>
      <c r="D53" s="358">
        <f t="shared" si="2"/>
        <v>41809727506.950005</v>
      </c>
      <c r="E53" s="358">
        <f t="shared" si="4"/>
        <v>0</v>
      </c>
      <c r="F53" s="358">
        <v>76642000</v>
      </c>
      <c r="G53" s="358">
        <f>(28208822000/J29)*J29</f>
        <v>28208822000</v>
      </c>
      <c r="H53" s="281">
        <f t="shared" si="5"/>
        <v>70095191506.950012</v>
      </c>
      <c r="I53" s="354">
        <f t="shared" si="3"/>
        <v>0.59647069375371531</v>
      </c>
      <c r="J53" s="354">
        <f t="shared" si="6"/>
        <v>0.40352930624628464</v>
      </c>
      <c r="K53" s="13"/>
      <c r="L53" s="4"/>
    </row>
    <row r="54" spans="1:12" ht="17.25">
      <c r="A54" s="103" t="str">
        <f t="shared" si="1"/>
        <v>Evergy Inc</v>
      </c>
      <c r="B54" s="90" t="str">
        <f t="shared" si="1"/>
        <v>EVRG</v>
      </c>
      <c r="C54" s="89" t="str">
        <f t="shared" si="1"/>
        <v>Electric Utility - Cent</v>
      </c>
      <c r="D54" s="358">
        <f t="shared" si="2"/>
        <v>16691741238.259998</v>
      </c>
      <c r="E54" s="358">
        <f t="shared" si="4"/>
        <v>0</v>
      </c>
      <c r="F54" s="358">
        <v>44600000</v>
      </c>
      <c r="G54" s="358">
        <f>(13018.9/13406.2)*J30</f>
        <v>5081917738.8074169</v>
      </c>
      <c r="H54" s="281">
        <f t="shared" si="5"/>
        <v>21818258977.067413</v>
      </c>
      <c r="I54" s="354">
        <f t="shared" si="3"/>
        <v>0.7650354345781778</v>
      </c>
      <c r="J54" s="354">
        <f t="shared" si="6"/>
        <v>0.23496456542182226</v>
      </c>
      <c r="K54" s="13"/>
      <c r="L54" s="4"/>
    </row>
    <row r="55" spans="1:12" ht="17.25">
      <c r="A55" s="103" t="str">
        <f t="shared" si="1"/>
        <v>FirstEnergy Corp</v>
      </c>
      <c r="B55" s="90" t="str">
        <f t="shared" si="1"/>
        <v>FE</v>
      </c>
      <c r="C55" s="89" t="str">
        <f t="shared" si="1"/>
        <v>Electric Utility - East</v>
      </c>
      <c r="D55" s="358">
        <f t="shared" si="2"/>
        <v>25877060000</v>
      </c>
      <c r="E55" s="358">
        <f t="shared" si="4"/>
        <v>0</v>
      </c>
      <c r="F55" s="358">
        <f>60000000+227000000</f>
        <v>287000000</v>
      </c>
      <c r="G55" s="358">
        <f>(25756/26390)*J31</f>
        <v>6542941417.2034864</v>
      </c>
      <c r="H55" s="281">
        <f t="shared" si="5"/>
        <v>32707001417.203487</v>
      </c>
      <c r="I55" s="354">
        <f t="shared" si="3"/>
        <v>0.79117800100100222</v>
      </c>
      <c r="J55" s="354">
        <f t="shared" si="6"/>
        <v>0.20882199899899781</v>
      </c>
      <c r="K55" s="13"/>
      <c r="L55" s="4"/>
    </row>
    <row r="56" spans="1:12" ht="17.25">
      <c r="A56" s="103" t="str">
        <f t="shared" ref="A56:C60" si="7">+A32</f>
        <v>OGE Energy Corp.</v>
      </c>
      <c r="B56" s="90" t="str">
        <f t="shared" si="7"/>
        <v>OGE</v>
      </c>
      <c r="C56" s="89" t="str">
        <f t="shared" si="7"/>
        <v>Electric Utility - Cent</v>
      </c>
      <c r="D56" s="358">
        <f t="shared" ref="D56:D60" si="8">(+H32)*G32</f>
        <v>1725080000</v>
      </c>
      <c r="E56" s="358">
        <f t="shared" ref="E56:E58" si="9">(1/1)*I32</f>
        <v>0</v>
      </c>
      <c r="F56" s="358">
        <v>29200000</v>
      </c>
      <c r="G56" s="358">
        <f>(362500000+60000000+4644700000+103000000+9100000)/(347600000+59900000+4847200000+103000000+11500000)*J32</f>
        <v>4786212621.9921036</v>
      </c>
      <c r="H56" s="281">
        <f t="shared" si="5"/>
        <v>6540492621.9921036</v>
      </c>
      <c r="I56" s="354">
        <f t="shared" si="3"/>
        <v>0.2637538331897965</v>
      </c>
      <c r="J56" s="354">
        <f t="shared" si="6"/>
        <v>0.7362461668102035</v>
      </c>
      <c r="K56" s="13"/>
      <c r="L56" s="4"/>
    </row>
    <row r="57" spans="1:12" ht="17.25">
      <c r="A57" s="103" t="str">
        <f t="shared" si="7"/>
        <v>Otter Tail Corp</v>
      </c>
      <c r="B57" s="90" t="str">
        <f t="shared" si="7"/>
        <v>OTTR</v>
      </c>
      <c r="C57" s="89" t="str">
        <f t="shared" si="7"/>
        <v>Electric Utility - Cent</v>
      </c>
      <c r="D57" s="358">
        <f t="shared" si="8"/>
        <v>3386385071.2000003</v>
      </c>
      <c r="E57" s="358">
        <f t="shared" si="9"/>
        <v>0</v>
      </c>
      <c r="F57" s="358">
        <v>26891000</v>
      </c>
      <c r="G57" s="358">
        <f>(923639/1043517)*J33</f>
        <v>923639000</v>
      </c>
      <c r="H57" s="281">
        <f t="shared" si="5"/>
        <v>4336915071.2000008</v>
      </c>
      <c r="I57" s="354">
        <f t="shared" si="3"/>
        <v>0.78082808069907761</v>
      </c>
      <c r="J57" s="354">
        <f>(+E57+F57+G57)/H57</f>
        <v>0.21917191930092225</v>
      </c>
      <c r="K57" s="13"/>
      <c r="L57" s="4"/>
    </row>
    <row r="58" spans="1:12" ht="17.25">
      <c r="A58" s="103" t="str">
        <f t="shared" si="7"/>
        <v>PPL Corporation</v>
      </c>
      <c r="B58" s="90" t="str">
        <f t="shared" si="7"/>
        <v>PPL</v>
      </c>
      <c r="C58" s="89" t="str">
        <f t="shared" si="7"/>
        <v>Electric Utility - East</v>
      </c>
      <c r="D58" s="358">
        <f t="shared" si="8"/>
        <v>26301455820.000004</v>
      </c>
      <c r="E58" s="358">
        <f t="shared" si="9"/>
        <v>0</v>
      </c>
      <c r="F58" s="358">
        <v>109000000</v>
      </c>
      <c r="G58" s="358">
        <f>(18488/18894)*J34</f>
        <v>18488000000</v>
      </c>
      <c r="H58" s="281">
        <f t="shared" si="5"/>
        <v>44898455820</v>
      </c>
      <c r="I58" s="354">
        <f t="shared" si="3"/>
        <v>0.58579867257448148</v>
      </c>
      <c r="J58" s="354">
        <f t="shared" si="6"/>
        <v>0.41420132742551857</v>
      </c>
      <c r="K58" s="13"/>
      <c r="L58" s="4"/>
    </row>
    <row r="59" spans="1:12" ht="17.25">
      <c r="A59" s="103" t="str">
        <f t="shared" si="7"/>
        <v>The Southern Company</v>
      </c>
      <c r="B59" s="90" t="str">
        <f t="shared" si="7"/>
        <v>SO</v>
      </c>
      <c r="C59" s="89" t="str">
        <f>+C35</f>
        <v>Electric Utility - East</v>
      </c>
      <c r="D59" s="358">
        <f t="shared" si="8"/>
        <v>95832800000</v>
      </c>
      <c r="E59" s="358">
        <f>(1.028554553)*I35</f>
        <v>0</v>
      </c>
      <c r="F59" s="358">
        <v>1484000000</v>
      </c>
      <c r="G59" s="281">
        <f>(57.7/63.2)*J35</f>
        <v>59935875000</v>
      </c>
      <c r="H59" s="281">
        <f t="shared" si="5"/>
        <v>157252675000</v>
      </c>
      <c r="I59" s="354">
        <f t="shared" si="3"/>
        <v>0.60941920383866288</v>
      </c>
      <c r="J59" s="354">
        <f t="shared" si="6"/>
        <v>0.39058079616133717</v>
      </c>
      <c r="K59" s="13"/>
      <c r="L59" s="4"/>
    </row>
    <row r="60" spans="1:12" ht="18" thickBot="1">
      <c r="A60" s="107" t="str">
        <f t="shared" si="7"/>
        <v>WEC Energy Group</v>
      </c>
      <c r="B60" s="97" t="str">
        <f t="shared" si="7"/>
        <v>WEC</v>
      </c>
      <c r="C60" s="96" t="str">
        <f t="shared" si="7"/>
        <v>Electric Utility - Cent</v>
      </c>
      <c r="D60" s="359">
        <f t="shared" si="8"/>
        <v>34323171793.739998</v>
      </c>
      <c r="E60" s="359">
        <f>(1/1)*I36</f>
        <v>30400000</v>
      </c>
      <c r="F60" s="359">
        <f>(3100000+73000000)</f>
        <v>76100000</v>
      </c>
      <c r="G60" s="359">
        <f>(19609.1/20017.5)*J36</f>
        <v>19973510400.899212</v>
      </c>
      <c r="H60" s="284">
        <f t="shared" si="5"/>
        <v>54403182194.639206</v>
      </c>
      <c r="I60" s="355">
        <f t="shared" si="3"/>
        <v>0.63090375248531216</v>
      </c>
      <c r="J60" s="355">
        <f t="shared" si="6"/>
        <v>0.36909624751468784</v>
      </c>
      <c r="K60" s="13"/>
    </row>
    <row r="61" spans="1:12" ht="17.25">
      <c r="A61" s="13"/>
      <c r="B61" s="13"/>
      <c r="C61" s="13"/>
      <c r="D61" s="13"/>
      <c r="E61" s="13"/>
      <c r="F61" s="13"/>
      <c r="G61" s="13"/>
      <c r="H61" s="117" t="s">
        <v>64</v>
      </c>
      <c r="I61" s="121">
        <f>MAX(I46:I60)</f>
        <v>0.79117800100100222</v>
      </c>
      <c r="J61" s="121">
        <f>MAX(J46:J60)</f>
        <v>0.7362461668102035</v>
      </c>
      <c r="K61" s="13"/>
    </row>
    <row r="62" spans="1:12" ht="17.25">
      <c r="G62" s="13"/>
      <c r="H62" s="289" t="s">
        <v>65</v>
      </c>
      <c r="I62" s="290">
        <f>MIN(I46:I60)</f>
        <v>0.2637538331897965</v>
      </c>
      <c r="J62" s="290">
        <f>MIN(J46:J60)</f>
        <v>0.20882199899899781</v>
      </c>
      <c r="K62" s="13"/>
    </row>
    <row r="63" spans="1:12" ht="17.25">
      <c r="G63" s="13" t="s">
        <v>0</v>
      </c>
      <c r="H63" s="15" t="s">
        <v>18</v>
      </c>
      <c r="I63" s="119">
        <f>MEDIAN(I46:I60)</f>
        <v>0.59359336453292744</v>
      </c>
      <c r="J63" s="120">
        <f>MEDIAN(J46:J60)</f>
        <v>0.40640663546707256</v>
      </c>
      <c r="K63" s="13"/>
    </row>
    <row r="64" spans="1:12" ht="17.25">
      <c r="G64" s="13" t="s">
        <v>0</v>
      </c>
      <c r="H64" s="15" t="s">
        <v>400</v>
      </c>
      <c r="I64" s="119">
        <f>AVERAGE(I46:I60)</f>
        <v>0.59482253079669611</v>
      </c>
      <c r="J64" s="120">
        <f>AVERAGE(J46:J60)</f>
        <v>0.40517746920330372</v>
      </c>
      <c r="K64" s="13"/>
    </row>
    <row r="65" spans="1:11" ht="18" thickBot="1">
      <c r="D65" t="s">
        <v>0</v>
      </c>
      <c r="G65" s="13"/>
      <c r="H65" s="13"/>
      <c r="I65" s="63"/>
      <c r="J65" s="63"/>
      <c r="K65" s="13"/>
    </row>
    <row r="66" spans="1:11" ht="27" thickBot="1">
      <c r="G66" s="13"/>
      <c r="H66" s="185" t="s">
        <v>235</v>
      </c>
      <c r="I66" s="345">
        <v>0.59</v>
      </c>
      <c r="J66" s="346">
        <v>0.41</v>
      </c>
      <c r="K66" s="13"/>
    </row>
    <row r="67" spans="1:11" ht="17.25">
      <c r="E67" s="118"/>
      <c r="F67" s="13"/>
      <c r="G67" s="13"/>
      <c r="H67" s="13"/>
      <c r="I67" s="63"/>
      <c r="J67" s="63" t="s">
        <v>0</v>
      </c>
      <c r="K67" s="13"/>
    </row>
    <row r="68" spans="1:11" ht="16.5">
      <c r="E68" s="118"/>
      <c r="F68" s="13"/>
      <c r="G68" s="13"/>
      <c r="H68" s="13"/>
      <c r="I68" s="13"/>
      <c r="J68" s="13"/>
      <c r="K68" s="13"/>
    </row>
    <row r="69" spans="1:11" ht="16.5">
      <c r="E69" s="118"/>
      <c r="F69" s="13"/>
      <c r="G69" s="13"/>
      <c r="H69" s="13"/>
      <c r="I69" s="13"/>
      <c r="J69" s="13"/>
      <c r="K69" s="13"/>
    </row>
    <row r="70" spans="1:11" ht="26.25">
      <c r="A70" s="24" t="s">
        <v>105</v>
      </c>
      <c r="B70" s="13"/>
      <c r="C70" s="75"/>
      <c r="D70" s="122"/>
      <c r="E70" s="118"/>
      <c r="F70" s="13"/>
      <c r="G70" s="13"/>
      <c r="H70" s="13"/>
      <c r="I70" s="13"/>
      <c r="J70" s="13"/>
      <c r="K70" s="13"/>
    </row>
    <row r="71" spans="1:11" ht="17.25">
      <c r="A71" s="139" t="s">
        <v>87</v>
      </c>
      <c r="B71" s="13"/>
      <c r="C71" s="75"/>
      <c r="D71" s="122"/>
      <c r="E71" s="118"/>
      <c r="F71" s="13"/>
      <c r="G71" s="13"/>
      <c r="H71" s="13"/>
      <c r="I71" s="13"/>
      <c r="J71" s="13"/>
      <c r="K71" s="13"/>
    </row>
    <row r="72" spans="1:11" ht="17.25">
      <c r="A72" s="63" t="s">
        <v>387</v>
      </c>
      <c r="B72" s="13"/>
      <c r="C72" s="75"/>
      <c r="D72" s="122"/>
      <c r="E72" s="118"/>
      <c r="F72" s="13"/>
      <c r="G72" s="13"/>
      <c r="H72" s="13"/>
      <c r="I72" s="13"/>
      <c r="J72" s="13"/>
      <c r="K72" s="13"/>
    </row>
    <row r="73" spans="1:11" ht="17.25">
      <c r="A73" s="110" t="s">
        <v>179</v>
      </c>
      <c r="E73" s="75" t="s">
        <v>0</v>
      </c>
    </row>
    <row r="74" spans="1:11" ht="17.25">
      <c r="A74" s="110" t="s">
        <v>177</v>
      </c>
    </row>
    <row r="75" spans="1:11" ht="17.25">
      <c r="A75" s="110" t="s">
        <v>178</v>
      </c>
    </row>
    <row r="76" spans="1:11" ht="17.25">
      <c r="A76" s="110" t="s">
        <v>322</v>
      </c>
    </row>
    <row r="79" spans="1:11" ht="26.25">
      <c r="A79" s="244" t="s">
        <v>323</v>
      </c>
    </row>
    <row r="80" spans="1:11" ht="17.25">
      <c r="A80" s="287" t="s">
        <v>382</v>
      </c>
    </row>
    <row r="81" spans="1:1" ht="20.25">
      <c r="A81" s="442" t="s">
        <v>503</v>
      </c>
    </row>
    <row r="82" spans="1:1" ht="26.25">
      <c r="A82" s="244" t="s">
        <v>324</v>
      </c>
    </row>
    <row r="83" spans="1:1" ht="17.25">
      <c r="A83" s="138" t="s">
        <v>379</v>
      </c>
    </row>
    <row r="84" spans="1:1" ht="17.25">
      <c r="A84" s="138" t="s">
        <v>0</v>
      </c>
    </row>
    <row r="85" spans="1:1" ht="26.25">
      <c r="A85" s="244" t="s">
        <v>380</v>
      </c>
    </row>
    <row r="86" spans="1:1" ht="17.25">
      <c r="A86" s="138" t="s">
        <v>381</v>
      </c>
    </row>
  </sheetData>
  <pageMargins left="0.25" right="0.25" top="0.75" bottom="0.75" header="0.3" footer="0.3"/>
  <pageSetup scale="33" orientation="landscape" r:id="rId1"/>
  <rowBreaks count="1" manualBreakCount="1">
    <brk id="66" max="11" man="1"/>
  </rowBreaks>
  <colBreaks count="1" manualBreakCount="1">
    <brk id="11" max="96" man="1"/>
  </colBreaks>
  <ignoredErrors>
    <ignoredError sqref="E46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>
    <tabColor rgb="FF92D050"/>
    <pageSetUpPr fitToPage="1"/>
  </sheetPr>
  <dimension ref="A1:J76"/>
  <sheetViews>
    <sheetView view="pageBreakPreview" zoomScale="60" zoomScaleNormal="80" zoomScalePageLayoutView="70" workbookViewId="0">
      <pane xSplit="1" topLeftCell="B1" activePane="topRight" state="frozen"/>
      <selection activeCell="N13" sqref="N13"/>
      <selection pane="topRight" activeCell="F4" sqref="F4:F5"/>
    </sheetView>
  </sheetViews>
  <sheetFormatPr defaultRowHeight="15"/>
  <cols>
    <col min="1" max="1" width="62.42578125" customWidth="1"/>
    <col min="2" max="2" width="11.5703125" bestFit="1" customWidth="1"/>
    <col min="3" max="3" width="24.140625" customWidth="1"/>
    <col min="4" max="4" width="30.140625" customWidth="1"/>
    <col min="5" max="5" width="28" customWidth="1"/>
    <col min="6" max="6" width="29.140625" customWidth="1"/>
    <col min="7" max="7" width="23.42578125" customWidth="1"/>
    <col min="8" max="8" width="12.85546875" customWidth="1"/>
    <col min="9" max="9" width="25.85546875" bestFit="1" customWidth="1"/>
    <col min="10" max="10" width="30.140625" bestFit="1" customWidth="1"/>
    <col min="11" max="11" width="9.140625" customWidth="1"/>
  </cols>
  <sheetData>
    <row r="1" spans="1:9" ht="26.25">
      <c r="A1" s="25" t="s">
        <v>1</v>
      </c>
      <c r="B1" s="13"/>
      <c r="C1" s="13"/>
      <c r="D1" s="13"/>
      <c r="E1" s="13"/>
      <c r="F1" s="13"/>
      <c r="G1" s="13"/>
      <c r="H1" s="13"/>
    </row>
    <row r="2" spans="1:9" ht="17.25">
      <c r="A2" s="26" t="s">
        <v>9</v>
      </c>
      <c r="B2" s="13"/>
      <c r="C2" s="13"/>
      <c r="D2" s="13"/>
      <c r="E2" s="13"/>
      <c r="F2" s="13"/>
      <c r="G2" s="13"/>
      <c r="H2" s="13"/>
    </row>
    <row r="3" spans="1:9" ht="16.5">
      <c r="A3" s="27" t="s">
        <v>475</v>
      </c>
      <c r="B3" s="13"/>
      <c r="C3" s="13"/>
      <c r="D3" s="13"/>
      <c r="E3" s="13"/>
      <c r="F3" s="13"/>
      <c r="G3" s="13"/>
      <c r="H3" s="13"/>
    </row>
    <row r="4" spans="1:9" ht="16.5">
      <c r="A4" s="27"/>
      <c r="B4" s="13"/>
      <c r="C4" s="13"/>
      <c r="D4" s="13"/>
      <c r="E4" s="13"/>
      <c r="F4" s="461" t="s">
        <v>0</v>
      </c>
      <c r="G4" s="13"/>
      <c r="H4" s="13"/>
    </row>
    <row r="5" spans="1:9" ht="16.5">
      <c r="B5" s="13"/>
      <c r="C5" s="13"/>
      <c r="D5" s="13"/>
      <c r="E5" s="28"/>
      <c r="F5" s="461" t="s">
        <v>0</v>
      </c>
      <c r="G5" s="13"/>
      <c r="H5" s="13" t="s">
        <v>0</v>
      </c>
    </row>
    <row r="6" spans="1:9" ht="16.5">
      <c r="A6" s="86"/>
      <c r="B6" s="35"/>
      <c r="C6" s="35"/>
      <c r="D6" s="35"/>
      <c r="E6" s="35"/>
      <c r="F6" s="35"/>
      <c r="G6" s="15"/>
      <c r="H6" s="85"/>
      <c r="I6" s="3"/>
    </row>
    <row r="7" spans="1:9" ht="16.5">
      <c r="A7" s="44"/>
      <c r="B7" s="44"/>
      <c r="C7" s="44"/>
      <c r="D7" s="44"/>
      <c r="E7" s="44"/>
      <c r="F7" s="44"/>
      <c r="G7" s="44"/>
      <c r="H7" s="44"/>
      <c r="I7" s="2"/>
    </row>
    <row r="8" spans="1:9" ht="17.25" thickBot="1">
      <c r="A8" s="44"/>
      <c r="B8" s="44"/>
      <c r="C8" s="44"/>
      <c r="D8" s="87"/>
      <c r="E8" s="30"/>
      <c r="F8" s="87"/>
      <c r="H8" s="44"/>
      <c r="I8" s="2"/>
    </row>
    <row r="9" spans="1:9" ht="27" thickBot="1">
      <c r="A9" s="29" t="str">
        <f>+'S&amp;D'!A12</f>
        <v>Electric Utilities</v>
      </c>
      <c r="B9" s="44"/>
      <c r="C9" s="44"/>
      <c r="D9" s="44"/>
      <c r="E9" s="32" t="s">
        <v>315</v>
      </c>
      <c r="F9" s="44"/>
      <c r="H9" s="13"/>
    </row>
    <row r="10" spans="1:9" ht="21" thickBot="1">
      <c r="A10" s="31"/>
      <c r="B10" s="44"/>
      <c r="C10" s="44"/>
      <c r="D10" s="87"/>
      <c r="E10" s="33" t="s">
        <v>488</v>
      </c>
      <c r="F10" s="87"/>
      <c r="H10" s="13"/>
    </row>
    <row r="11" spans="1:9" ht="20.25">
      <c r="A11" s="31"/>
      <c r="B11" s="44"/>
      <c r="C11" s="44"/>
      <c r="D11" s="44"/>
      <c r="E11" s="35"/>
      <c r="F11" s="44"/>
      <c r="H11" s="13"/>
    </row>
    <row r="12" spans="1:9" ht="20.25">
      <c r="A12" s="31"/>
      <c r="B12" s="44"/>
      <c r="C12" s="44"/>
      <c r="D12" s="44"/>
      <c r="E12" s="35"/>
      <c r="F12" s="44"/>
      <c r="H12" s="13"/>
    </row>
    <row r="13" spans="1:9" ht="20.25">
      <c r="A13" s="31"/>
      <c r="B13" s="44"/>
      <c r="C13" s="44"/>
      <c r="D13" s="44"/>
      <c r="E13" s="35"/>
      <c r="F13" s="44"/>
      <c r="H13" s="13"/>
    </row>
    <row r="14" spans="1:9" ht="20.25">
      <c r="A14" s="31"/>
      <c r="B14" s="44"/>
      <c r="C14" s="44"/>
      <c r="D14" s="44"/>
      <c r="E14" s="14" t="s">
        <v>0</v>
      </c>
      <c r="F14" s="44"/>
      <c r="H14" s="13"/>
    </row>
    <row r="15" spans="1:9" ht="17.25" thickBot="1">
      <c r="A15" s="42" t="s">
        <v>0</v>
      </c>
      <c r="B15" s="42" t="s">
        <v>0</v>
      </c>
      <c r="C15" s="42" t="s">
        <v>0</v>
      </c>
      <c r="D15" s="42"/>
      <c r="E15" s="42"/>
      <c r="F15" s="42"/>
      <c r="H15" s="13"/>
    </row>
    <row r="16" spans="1:9" ht="17.25">
      <c r="A16" s="88"/>
      <c r="B16" s="89"/>
      <c r="C16" s="90"/>
      <c r="D16" s="216" t="s">
        <v>0</v>
      </c>
      <c r="E16" s="217" t="s">
        <v>0</v>
      </c>
      <c r="F16" s="216" t="s">
        <v>0</v>
      </c>
      <c r="H16" s="13"/>
    </row>
    <row r="17" spans="1:10" ht="17.25">
      <c r="A17" s="88" t="s">
        <v>0</v>
      </c>
      <c r="B17" s="89" t="s">
        <v>3</v>
      </c>
      <c r="C17" s="90" t="s">
        <v>5</v>
      </c>
      <c r="D17" s="91" t="s">
        <v>305</v>
      </c>
      <c r="E17" s="218" t="s">
        <v>94</v>
      </c>
      <c r="F17" s="91" t="s">
        <v>307</v>
      </c>
      <c r="H17" s="13"/>
    </row>
    <row r="18" spans="1:10" ht="17.25">
      <c r="A18" s="88"/>
      <c r="B18" s="89" t="s">
        <v>4</v>
      </c>
      <c r="C18" s="90" t="s">
        <v>6</v>
      </c>
      <c r="D18" s="91" t="s">
        <v>316</v>
      </c>
      <c r="E18" s="218" t="s">
        <v>316</v>
      </c>
      <c r="F18" s="91" t="s">
        <v>157</v>
      </c>
      <c r="H18" s="13"/>
    </row>
    <row r="19" spans="1:10" ht="18" thickBot="1">
      <c r="A19" s="95" t="s">
        <v>2</v>
      </c>
      <c r="B19" s="96" t="s">
        <v>0</v>
      </c>
      <c r="C19" s="97" t="s">
        <v>0</v>
      </c>
      <c r="D19" s="96" t="s">
        <v>0</v>
      </c>
      <c r="E19" s="115" t="s">
        <v>0</v>
      </c>
      <c r="F19" s="96" t="s">
        <v>0</v>
      </c>
      <c r="H19" s="13"/>
    </row>
    <row r="20" spans="1:10" ht="16.5">
      <c r="A20" s="249" t="s">
        <v>7</v>
      </c>
      <c r="B20" s="250" t="s">
        <v>7</v>
      </c>
      <c r="C20" s="251" t="s">
        <v>7</v>
      </c>
      <c r="D20" s="101" t="s">
        <v>7</v>
      </c>
      <c r="E20" s="116" t="s">
        <v>306</v>
      </c>
      <c r="F20" s="101"/>
      <c r="H20" s="13"/>
    </row>
    <row r="21" spans="1:10" ht="17.25">
      <c r="A21" s="88"/>
      <c r="B21" s="89"/>
      <c r="C21" s="219"/>
      <c r="D21" s="89"/>
      <c r="E21" s="219"/>
      <c r="F21" s="89"/>
      <c r="H21" s="13"/>
    </row>
    <row r="22" spans="1:10" ht="17.25">
      <c r="A22" s="103" t="str">
        <f>+'S&amp;D'!A22</f>
        <v>Alliant Energy</v>
      </c>
      <c r="B22" s="88" t="str">
        <f>+'S&amp;D'!B22</f>
        <v>LNT</v>
      </c>
      <c r="C22" s="89" t="str">
        <f>+'S&amp;D'!C22</f>
        <v>Electric Utility - Cent</v>
      </c>
      <c r="D22" s="233">
        <f>+'S&amp;D'!D46</f>
        <v>16716493337.610001</v>
      </c>
      <c r="E22" s="235">
        <v>7334000000</v>
      </c>
      <c r="F22" s="105">
        <f t="shared" ref="F22:F36" si="0">+D22/E22</f>
        <v>2.2793146083460596</v>
      </c>
      <c r="H22" s="13"/>
    </row>
    <row r="23" spans="1:10" ht="17.25">
      <c r="A23" s="103" t="str">
        <f>+'S&amp;D'!A23</f>
        <v>AMEREN Corporation</v>
      </c>
      <c r="B23" s="88" t="str">
        <f>+'S&amp;D'!B23</f>
        <v>AEE</v>
      </c>
      <c r="C23" s="89" t="str">
        <f>+'S&amp;D'!C23</f>
        <v>Electric Utility - Cent</v>
      </c>
      <c r="D23" s="233">
        <f>+'S&amp;D'!D47</f>
        <v>27601304000</v>
      </c>
      <c r="E23" s="235">
        <v>13401000000</v>
      </c>
      <c r="F23" s="105">
        <f t="shared" si="0"/>
        <v>2.0596451011118573</v>
      </c>
      <c r="H23" s="13"/>
    </row>
    <row r="24" spans="1:10" ht="17.25">
      <c r="A24" s="103" t="str">
        <f>+'S&amp;D'!A24</f>
        <v>American Electric Power</v>
      </c>
      <c r="B24" s="88" t="str">
        <f>+'S&amp;D'!B24</f>
        <v>AEP</v>
      </c>
      <c r="C24" s="89" t="str">
        <f>+'S&amp;D'!C24</f>
        <v>Electric Utility - Cent</v>
      </c>
      <c r="D24" s="233">
        <f>+'S&amp;D'!D48</f>
        <v>62366736451.630005</v>
      </c>
      <c r="E24" s="235">
        <v>6613000000</v>
      </c>
      <c r="F24" s="105">
        <f t="shared" si="0"/>
        <v>9.4309294498155154</v>
      </c>
      <c r="H24" s="13"/>
    </row>
    <row r="25" spans="1:10" ht="17.25">
      <c r="A25" s="103" t="str">
        <f>+'S&amp;D'!A25</f>
        <v>Centerpoint Energy</v>
      </c>
      <c r="B25" s="88" t="str">
        <f>+'S&amp;D'!B25</f>
        <v>CNP</v>
      </c>
      <c r="C25" s="89" t="str">
        <f>+'S&amp;D'!C25</f>
        <v>Electric Utility - Cent</v>
      </c>
      <c r="D25" s="233">
        <f>+'S&amp;D'!D49</f>
        <v>25031019505.500004</v>
      </c>
      <c r="E25" s="235">
        <v>11153000000</v>
      </c>
      <c r="F25" s="105">
        <f t="shared" si="0"/>
        <v>2.2443306290235814</v>
      </c>
      <c r="H25" s="13"/>
    </row>
    <row r="26" spans="1:10" ht="17.25">
      <c r="A26" s="103" t="str">
        <f>+'S&amp;D'!A26</f>
        <v>CMS Energy</v>
      </c>
      <c r="B26" s="88" t="str">
        <f>+'S&amp;D'!B26</f>
        <v>CMS</v>
      </c>
      <c r="C26" s="89" t="str">
        <f>+'S&amp;D'!C26</f>
        <v>Electric Utility - Cent</v>
      </c>
      <c r="D26" s="233">
        <f>+'S&amp;D'!D50</f>
        <v>21426552000.000004</v>
      </c>
      <c r="E26" s="235">
        <v>12578000000</v>
      </c>
      <c r="F26" s="105">
        <f t="shared" si="0"/>
        <v>1.7034943552234063</v>
      </c>
      <c r="H26" s="13"/>
      <c r="J26" s="10" t="s">
        <v>0</v>
      </c>
    </row>
    <row r="27" spans="1:10" ht="17.25">
      <c r="A27" s="103" t="str">
        <f>+'S&amp;D'!A27</f>
        <v>DTE Energy</v>
      </c>
      <c r="B27" s="88" t="str">
        <f>+'S&amp;D'!B27</f>
        <v>DTE</v>
      </c>
      <c r="C27" s="89" t="str">
        <f>+'S&amp;D'!C27</f>
        <v>Electric Utility - Cent</v>
      </c>
      <c r="D27" s="233">
        <f>+'S&amp;D'!D51</f>
        <v>26794969962.919998</v>
      </c>
      <c r="E27" s="235">
        <v>12510000000</v>
      </c>
      <c r="F27" s="105">
        <f t="shared" si="0"/>
        <v>2.1418840897617906</v>
      </c>
      <c r="H27" s="13"/>
    </row>
    <row r="28" spans="1:10" ht="17.25">
      <c r="A28" s="103" t="str">
        <f>+'S&amp;D'!A28</f>
        <v>Duke Energy</v>
      </c>
      <c r="B28" s="88" t="str">
        <f>+'S&amp;D'!B28</f>
        <v>DUK</v>
      </c>
      <c r="C28" s="89" t="str">
        <f>+'S&amp;D'!C28</f>
        <v>Electric Utility - East</v>
      </c>
      <c r="D28" s="233">
        <f>+'S&amp;D'!D52</f>
        <v>91189380000</v>
      </c>
      <c r="E28" s="235">
        <v>51842000000</v>
      </c>
      <c r="F28" s="105">
        <f t="shared" si="0"/>
        <v>1.758986536013271</v>
      </c>
      <c r="H28" s="13"/>
    </row>
    <row r="29" spans="1:10" ht="17.25">
      <c r="A29" s="103" t="str">
        <f>+'S&amp;D'!A29</f>
        <v>Entergy Corp</v>
      </c>
      <c r="B29" s="88" t="str">
        <f>+'S&amp;D'!B29</f>
        <v>ETR</v>
      </c>
      <c r="C29" s="89" t="str">
        <f>+'S&amp;D'!C29</f>
        <v>Electric Utility - Cent</v>
      </c>
      <c r="D29" s="233">
        <f>+'S&amp;D'!D53</f>
        <v>41809727506.950005</v>
      </c>
      <c r="E29" s="235">
        <v>17014167000</v>
      </c>
      <c r="F29" s="105">
        <f t="shared" si="0"/>
        <v>2.4573478976049787</v>
      </c>
      <c r="H29" s="13"/>
    </row>
    <row r="30" spans="1:10" ht="17.25">
      <c r="A30" s="103" t="str">
        <f>+'S&amp;D'!A30</f>
        <v>Evergy Inc</v>
      </c>
      <c r="B30" s="88" t="str">
        <f>+'S&amp;D'!B30</f>
        <v>EVRG</v>
      </c>
      <c r="C30" s="89" t="str">
        <f>+'S&amp;D'!C30</f>
        <v>Electric Utility - Cent</v>
      </c>
      <c r="D30" s="233">
        <f>+'S&amp;D'!D54</f>
        <v>16691741238.259998</v>
      </c>
      <c r="E30" s="235">
        <v>10221300000</v>
      </c>
      <c r="F30" s="105">
        <f t="shared" si="0"/>
        <v>1.6330350579926232</v>
      </c>
      <c r="H30" s="13"/>
    </row>
    <row r="31" spans="1:10" ht="17.25">
      <c r="A31" s="103" t="str">
        <f>+'S&amp;D'!A31</f>
        <v>FirstEnergy Corp</v>
      </c>
      <c r="B31" s="88" t="str">
        <f>+'S&amp;D'!B31</f>
        <v>FE</v>
      </c>
      <c r="C31" s="89" t="str">
        <f>+'S&amp;D'!C31</f>
        <v>Electric Utility - East</v>
      </c>
      <c r="D31" s="233">
        <f>+'S&amp;D'!D55</f>
        <v>25877060000</v>
      </c>
      <c r="E31" s="235">
        <v>2840000000</v>
      </c>
      <c r="F31" s="105">
        <f t="shared" si="0"/>
        <v>9.111640845070422</v>
      </c>
      <c r="H31" s="13"/>
    </row>
    <row r="32" spans="1:10" ht="17.25">
      <c r="A32" s="103" t="str">
        <f>+'S&amp;D'!A32</f>
        <v>OGE Energy Corp.</v>
      </c>
      <c r="B32" s="88" t="str">
        <f>+'S&amp;D'!B32</f>
        <v>OGE</v>
      </c>
      <c r="C32" s="89" t="str">
        <f>+'S&amp;D'!C32</f>
        <v>Electric Utility - Cent</v>
      </c>
      <c r="D32" s="233">
        <f>+'S&amp;D'!D56</f>
        <v>1725080000</v>
      </c>
      <c r="E32" s="235">
        <v>4640900000</v>
      </c>
      <c r="F32" s="105">
        <f t="shared" si="0"/>
        <v>0.37171238337391455</v>
      </c>
      <c r="H32" s="13"/>
    </row>
    <row r="33" spans="1:8" ht="17.25">
      <c r="A33" s="103" t="str">
        <f>+'S&amp;D'!A33</f>
        <v>Otter Tail Corp</v>
      </c>
      <c r="B33" s="88" t="str">
        <f>+'S&amp;D'!B33</f>
        <v>OTTR</v>
      </c>
      <c r="C33" s="89" t="str">
        <f>+'S&amp;D'!C33</f>
        <v>Electric Utility - Cent</v>
      </c>
      <c r="D33" s="233">
        <f>+'S&amp;D'!D57</f>
        <v>3386385071.2000003</v>
      </c>
      <c r="E33" s="235">
        <v>2612233000</v>
      </c>
      <c r="F33" s="105">
        <f t="shared" si="0"/>
        <v>1.2963564395672209</v>
      </c>
      <c r="H33" s="13"/>
    </row>
    <row r="34" spans="1:8" ht="17.25">
      <c r="A34" s="103" t="str">
        <f>+'S&amp;D'!A34</f>
        <v>PPL Corporation</v>
      </c>
      <c r="B34" s="88" t="str">
        <f>+'S&amp;D'!B34</f>
        <v>PPL</v>
      </c>
      <c r="C34" s="89" t="str">
        <f>+'S&amp;D'!C34</f>
        <v>Electric Utility - East</v>
      </c>
      <c r="D34" s="233">
        <f>+'S&amp;D'!D58</f>
        <v>26301455820.000004</v>
      </c>
      <c r="E34" s="235">
        <v>14077000000</v>
      </c>
      <c r="F34" s="105">
        <f t="shared" si="0"/>
        <v>1.8683992200042625</v>
      </c>
      <c r="H34" s="13"/>
    </row>
    <row r="35" spans="1:8" ht="17.25">
      <c r="A35" s="103" t="str">
        <f>+'S&amp;D'!A35</f>
        <v>The Southern Company</v>
      </c>
      <c r="B35" s="88" t="str">
        <f>+'S&amp;D'!B35</f>
        <v>SO</v>
      </c>
      <c r="C35" s="89" t="str">
        <f>+'S&amp;D'!C35</f>
        <v>Electric Utility - East</v>
      </c>
      <c r="D35" s="233">
        <f>+'S&amp;D'!D59</f>
        <v>95832800000</v>
      </c>
      <c r="E35" s="235">
        <v>33208000000</v>
      </c>
      <c r="F35" s="105">
        <f t="shared" si="0"/>
        <v>2.8858347386172007</v>
      </c>
      <c r="H35" s="13"/>
    </row>
    <row r="36" spans="1:8" ht="18" thickBot="1">
      <c r="A36" s="107" t="str">
        <f>+'S&amp;D'!A36</f>
        <v>WEC Energy Group</v>
      </c>
      <c r="B36" s="95" t="str">
        <f>+'S&amp;D'!B36</f>
        <v>WEC</v>
      </c>
      <c r="C36" s="96" t="str">
        <f>+'S&amp;D'!C36</f>
        <v>Electric Utility - Cent</v>
      </c>
      <c r="D36" s="234">
        <f>+'S&amp;D'!D60</f>
        <v>34323171793.739998</v>
      </c>
      <c r="E36" s="283">
        <f>12395000000+30400000</f>
        <v>12425400000</v>
      </c>
      <c r="F36" s="108">
        <f t="shared" si="0"/>
        <v>2.7623393849485729</v>
      </c>
      <c r="H36" s="13"/>
    </row>
    <row r="37" spans="1:8" ht="27" customHeight="1" thickBot="1">
      <c r="A37" s="110"/>
      <c r="B37" s="110"/>
      <c r="C37" s="110"/>
      <c r="D37" s="110"/>
      <c r="E37" s="246" t="s">
        <v>314</v>
      </c>
      <c r="F37" s="247">
        <f>AVERAGE(F22:F36)</f>
        <v>2.9336833824316453</v>
      </c>
      <c r="H37" s="13"/>
    </row>
    <row r="38" spans="1:8" ht="33.75">
      <c r="A38" s="438"/>
      <c r="B38" s="110"/>
      <c r="C38" s="110"/>
      <c r="D38" s="110"/>
      <c r="E38" s="228"/>
      <c r="F38" s="229"/>
      <c r="H38" s="13"/>
    </row>
    <row r="39" spans="1:8" ht="17.25">
      <c r="A39" s="110"/>
      <c r="B39" s="110"/>
      <c r="C39" s="110"/>
      <c r="D39" s="110"/>
      <c r="E39" s="228"/>
      <c r="F39" s="229"/>
      <c r="H39" s="13"/>
    </row>
    <row r="40" spans="1:8" ht="17.25">
      <c r="A40" s="110"/>
      <c r="B40" s="110"/>
      <c r="C40" s="110"/>
      <c r="D40" s="110"/>
      <c r="E40" s="228"/>
      <c r="F40" s="229"/>
      <c r="H40" s="13"/>
    </row>
    <row r="41" spans="1:8" ht="18" thickBot="1">
      <c r="A41" s="110"/>
      <c r="B41" s="110"/>
      <c r="C41" s="110"/>
      <c r="D41" s="110"/>
      <c r="E41" s="110"/>
      <c r="F41" s="110"/>
      <c r="H41" s="13"/>
    </row>
    <row r="42" spans="1:8" ht="17.25">
      <c r="A42" s="230"/>
      <c r="B42" s="231"/>
      <c r="C42" s="232"/>
      <c r="D42" s="216" t="s">
        <v>0</v>
      </c>
      <c r="E42" s="217" t="s">
        <v>0</v>
      </c>
      <c r="F42" s="216" t="s">
        <v>0</v>
      </c>
      <c r="H42" s="13"/>
    </row>
    <row r="43" spans="1:8" ht="17.25">
      <c r="A43" s="88" t="s">
        <v>0</v>
      </c>
      <c r="B43" s="89" t="s">
        <v>3</v>
      </c>
      <c r="C43" s="90" t="s">
        <v>5</v>
      </c>
      <c r="D43" s="91" t="s">
        <v>305</v>
      </c>
      <c r="E43" s="218" t="s">
        <v>94</v>
      </c>
      <c r="F43" s="91" t="s">
        <v>307</v>
      </c>
      <c r="H43" s="13"/>
    </row>
    <row r="44" spans="1:8" ht="17.25">
      <c r="A44" s="88"/>
      <c r="B44" s="89" t="s">
        <v>4</v>
      </c>
      <c r="C44" s="90" t="s">
        <v>6</v>
      </c>
      <c r="D44" s="91" t="s">
        <v>308</v>
      </c>
      <c r="E44" s="218" t="s">
        <v>308</v>
      </c>
      <c r="F44" s="91" t="s">
        <v>157</v>
      </c>
    </row>
    <row r="45" spans="1:8" ht="18" thickBot="1">
      <c r="A45" s="95" t="s">
        <v>2</v>
      </c>
      <c r="B45" s="96" t="s">
        <v>0</v>
      </c>
      <c r="C45" s="97" t="s">
        <v>0</v>
      </c>
      <c r="D45" s="96" t="s">
        <v>0</v>
      </c>
      <c r="E45" s="115" t="s">
        <v>0</v>
      </c>
      <c r="F45" s="96" t="s">
        <v>0</v>
      </c>
    </row>
    <row r="46" spans="1:8">
      <c r="A46" s="100" t="s">
        <v>7</v>
      </c>
      <c r="B46" s="101" t="s">
        <v>7</v>
      </c>
      <c r="C46" s="43" t="s">
        <v>7</v>
      </c>
      <c r="D46" s="250" t="s">
        <v>306</v>
      </c>
      <c r="E46" s="116" t="s">
        <v>306</v>
      </c>
      <c r="F46" s="101"/>
    </row>
    <row r="47" spans="1:8" ht="17.25">
      <c r="A47" s="88"/>
      <c r="B47" s="89"/>
      <c r="C47" s="90"/>
      <c r="D47" s="89"/>
      <c r="E47" s="219"/>
      <c r="F47" s="89"/>
    </row>
    <row r="48" spans="1:8" ht="17.25">
      <c r="A48" s="103" t="str">
        <f>+'S&amp;D'!A22</f>
        <v>Alliant Energy</v>
      </c>
      <c r="B48" s="88" t="str">
        <f>+'S&amp;D'!B22</f>
        <v>LNT</v>
      </c>
      <c r="C48" s="88" t="str">
        <f>+'S&amp;D'!C22</f>
        <v>Electric Utility - Cent</v>
      </c>
      <c r="D48" s="233">
        <f>+'S&amp;D'!G46</f>
        <v>11424029914.529915</v>
      </c>
      <c r="E48" s="235">
        <f>+'S&amp;D'!J22</f>
        <v>12028000000</v>
      </c>
      <c r="F48" s="105">
        <f t="shared" ref="F48:F62" si="1">+D48/E48</f>
        <v>0.94978632478632485</v>
      </c>
    </row>
    <row r="49" spans="1:6" ht="17.25">
      <c r="A49" s="103" t="str">
        <f>+'S&amp;D'!A23</f>
        <v>AMEREN Corporation</v>
      </c>
      <c r="B49" s="88" t="str">
        <f>+'S&amp;D'!B23</f>
        <v>AEE</v>
      </c>
      <c r="C49" s="88" t="str">
        <f>+'S&amp;D'!C23</f>
        <v>Electric Utility - Cent</v>
      </c>
      <c r="D49" s="233">
        <f>+'S&amp;D'!G47</f>
        <v>17433000000</v>
      </c>
      <c r="E49" s="235">
        <f>+'S&amp;D'!J23</f>
        <v>19187000000</v>
      </c>
      <c r="F49" s="105">
        <f t="shared" si="1"/>
        <v>0.90858393704070461</v>
      </c>
    </row>
    <row r="50" spans="1:6" ht="17.25">
      <c r="A50" s="103" t="str">
        <f>+'S&amp;D'!A24</f>
        <v>American Electric Power</v>
      </c>
      <c r="B50" s="88" t="str">
        <f>+'S&amp;D'!B24</f>
        <v>AEP</v>
      </c>
      <c r="C50" s="88" t="str">
        <f>+'S&amp;D'!C24</f>
        <v>Electric Utility - Cent</v>
      </c>
      <c r="D50" s="233">
        <f>+'S&amp;D'!G48</f>
        <v>44930000000</v>
      </c>
      <c r="E50" s="235">
        <f>+'S&amp;D'!J24</f>
        <v>47322000000</v>
      </c>
      <c r="F50" s="105">
        <f t="shared" si="1"/>
        <v>0.94945268585435949</v>
      </c>
    </row>
    <row r="51" spans="1:6" ht="17.25">
      <c r="A51" s="103" t="str">
        <f>+'S&amp;D'!A25</f>
        <v>Centerpoint Energy</v>
      </c>
      <c r="B51" s="88" t="str">
        <f>+'S&amp;D'!B25</f>
        <v>CNP</v>
      </c>
      <c r="C51" s="88" t="str">
        <f>+'S&amp;D'!C25</f>
        <v>Electric Utility - Cent</v>
      </c>
      <c r="D51" s="233">
        <f>+'S&amp;D'!G49</f>
        <v>23085775573.133125</v>
      </c>
      <c r="E51" s="235">
        <f>+'S&amp;D'!J25</f>
        <v>22480000000</v>
      </c>
      <c r="F51" s="105">
        <f t="shared" si="1"/>
        <v>1.0269473119721142</v>
      </c>
    </row>
    <row r="52" spans="1:6" ht="17.25">
      <c r="A52" s="103" t="str">
        <f>+'S&amp;D'!A26</f>
        <v>CMS Energy</v>
      </c>
      <c r="B52" s="88" t="str">
        <f>+'S&amp;D'!B26</f>
        <v>CMS</v>
      </c>
      <c r="C52" s="88" t="str">
        <f>+'S&amp;D'!C26</f>
        <v>Electric Utility - Cent</v>
      </c>
      <c r="D52" s="233">
        <f>+'S&amp;D'!G50</f>
        <v>20088964919.240578</v>
      </c>
      <c r="E52" s="235">
        <f>+'S&amp;D'!J26</f>
        <v>18898000000</v>
      </c>
      <c r="F52" s="105">
        <f t="shared" si="1"/>
        <v>1.0630206857466704</v>
      </c>
    </row>
    <row r="53" spans="1:6" ht="17.25">
      <c r="A53" s="103" t="str">
        <f>+'S&amp;D'!A27</f>
        <v>DTE Energy</v>
      </c>
      <c r="B53" s="88" t="str">
        <f>+'S&amp;D'!B27</f>
        <v>DTE</v>
      </c>
      <c r="C53" s="88" t="str">
        <f>+'S&amp;D'!C27</f>
        <v>Electric Utility - Cent</v>
      </c>
      <c r="D53" s="233">
        <f>+'S&amp;D'!G51</f>
        <v>21362511811.621723</v>
      </c>
      <c r="E53" s="235">
        <f>+'S&amp;D'!J27</f>
        <v>23092000000</v>
      </c>
      <c r="F53" s="105">
        <f t="shared" si="1"/>
        <v>0.92510444360045574</v>
      </c>
    </row>
    <row r="54" spans="1:6" ht="17.25">
      <c r="A54" s="103" t="str">
        <f>+'S&amp;D'!A28</f>
        <v>Duke Energy</v>
      </c>
      <c r="B54" s="88" t="str">
        <f>+'S&amp;D'!B28</f>
        <v>DUK</v>
      </c>
      <c r="C54" s="88" t="str">
        <f>+'S&amp;D'!C28</f>
        <v>Electric Utility - East</v>
      </c>
      <c r="D54" s="233">
        <f>+'S&amp;D'!G52</f>
        <v>79863000000</v>
      </c>
      <c r="E54" s="235">
        <f>+'S&amp;D'!J28</f>
        <v>87212000000</v>
      </c>
      <c r="F54" s="105">
        <f t="shared" si="1"/>
        <v>0.9157340732926661</v>
      </c>
    </row>
    <row r="55" spans="1:6" ht="17.25">
      <c r="A55" s="103" t="str">
        <f>+'S&amp;D'!A29</f>
        <v>Entergy Corp</v>
      </c>
      <c r="B55" s="88" t="str">
        <f>+'S&amp;D'!B29</f>
        <v>ETR</v>
      </c>
      <c r="C55" s="88" t="str">
        <f>+'S&amp;D'!C29</f>
        <v>Electric Utility - Cent</v>
      </c>
      <c r="D55" s="233">
        <f>+'S&amp;D'!G53</f>
        <v>28208822000</v>
      </c>
      <c r="E55" s="235">
        <f>+'S&amp;D'!J29</f>
        <v>2596279000</v>
      </c>
      <c r="F55" s="105">
        <f t="shared" si="1"/>
        <v>10.865096547790126</v>
      </c>
    </row>
    <row r="56" spans="1:6" ht="17.25">
      <c r="A56" s="103" t="str">
        <f>+'S&amp;D'!A30</f>
        <v>Evergy Inc</v>
      </c>
      <c r="B56" s="88" t="str">
        <f>+'S&amp;D'!B30</f>
        <v>EVRG</v>
      </c>
      <c r="C56" s="88" t="str">
        <f>+'S&amp;D'!C30</f>
        <v>Electric Utility - Cent</v>
      </c>
      <c r="D56" s="233">
        <f>+'S&amp;D'!G54</f>
        <v>5081917738.8074169</v>
      </c>
      <c r="E56" s="235">
        <f>+'S&amp;D'!J30</f>
        <v>5233100000</v>
      </c>
      <c r="F56" s="105">
        <f t="shared" si="1"/>
        <v>0.97111038176366149</v>
      </c>
    </row>
    <row r="57" spans="1:6" ht="17.25">
      <c r="A57" s="103" t="str">
        <f>+'S&amp;D'!A31</f>
        <v>FirstEnergy Corp</v>
      </c>
      <c r="B57" s="88" t="str">
        <f>+'S&amp;D'!B31</f>
        <v>FE</v>
      </c>
      <c r="C57" s="88" t="str">
        <f>+'S&amp;D'!C31</f>
        <v>Electric Utility - East</v>
      </c>
      <c r="D57" s="233">
        <f>+'S&amp;D'!G55</f>
        <v>6542941417.2034864</v>
      </c>
      <c r="E57" s="235">
        <f>+'S&amp;D'!J31</f>
        <v>6704000000</v>
      </c>
      <c r="F57" s="105">
        <f t="shared" si="1"/>
        <v>0.97597574838954149</v>
      </c>
    </row>
    <row r="58" spans="1:6" ht="17.25">
      <c r="A58" s="103" t="str">
        <f>+'S&amp;D'!A32</f>
        <v>OGE Energy Corp.</v>
      </c>
      <c r="B58" s="88" t="str">
        <f>+'S&amp;D'!B32</f>
        <v>OGE</v>
      </c>
      <c r="C58" s="88" t="str">
        <f>+'S&amp;D'!C32</f>
        <v>Electric Utility - Cent</v>
      </c>
      <c r="D58" s="233">
        <f>+'S&amp;D'!G56</f>
        <v>4786212621.9921036</v>
      </c>
      <c r="E58" s="235">
        <f>+'S&amp;D'!J32</f>
        <v>4961700000</v>
      </c>
      <c r="F58" s="105">
        <f t="shared" si="1"/>
        <v>0.96463160247336666</v>
      </c>
    </row>
    <row r="59" spans="1:6" ht="17.25">
      <c r="A59" s="103" t="str">
        <f>+'S&amp;D'!A33</f>
        <v>Otter Tail Corp</v>
      </c>
      <c r="B59" s="88" t="str">
        <f>+'S&amp;D'!B33</f>
        <v>OTTR</v>
      </c>
      <c r="C59" s="88" t="str">
        <f>+'S&amp;D'!C33</f>
        <v>Electric Utility - Cent</v>
      </c>
      <c r="D59" s="233">
        <f>+'S&amp;D'!G57</f>
        <v>923639000</v>
      </c>
      <c r="E59" s="235">
        <f>+'S&amp;D'!J33</f>
        <v>1043517000</v>
      </c>
      <c r="F59" s="105">
        <f t="shared" si="1"/>
        <v>0.88512118154280184</v>
      </c>
    </row>
    <row r="60" spans="1:6" ht="17.25">
      <c r="A60" s="103" t="str">
        <f>+'S&amp;D'!A34</f>
        <v>PPL Corporation</v>
      </c>
      <c r="B60" s="88" t="str">
        <f>+'S&amp;D'!B34</f>
        <v>PPL</v>
      </c>
      <c r="C60" s="88" t="str">
        <f>+'S&amp;D'!C34</f>
        <v>Electric Utility - East</v>
      </c>
      <c r="D60" s="233">
        <f>+'S&amp;D'!G58</f>
        <v>18488000000</v>
      </c>
      <c r="E60" s="235">
        <f>+'S&amp;D'!J34</f>
        <v>18894000000</v>
      </c>
      <c r="F60" s="105">
        <f t="shared" si="1"/>
        <v>0.97851169683497408</v>
      </c>
    </row>
    <row r="61" spans="1:6" ht="17.25">
      <c r="A61" s="103" t="str">
        <f>+'S&amp;D'!A35</f>
        <v>The Southern Company</v>
      </c>
      <c r="B61" s="88" t="str">
        <f>+'S&amp;D'!B35</f>
        <v>SO</v>
      </c>
      <c r="C61" s="88" t="str">
        <f>+'S&amp;D'!C35</f>
        <v>Electric Utility - East</v>
      </c>
      <c r="D61" s="233">
        <f>+'S&amp;D'!G59</f>
        <v>59935875000</v>
      </c>
      <c r="E61" s="235">
        <f>+'S&amp;D'!J35</f>
        <v>65649000000</v>
      </c>
      <c r="F61" s="105">
        <f t="shared" si="1"/>
        <v>0.91297468354430378</v>
      </c>
    </row>
    <row r="62" spans="1:6" ht="18" thickBot="1">
      <c r="A62" s="107" t="str">
        <f>+'S&amp;D'!A36</f>
        <v>WEC Energy Group</v>
      </c>
      <c r="B62" s="95" t="str">
        <f>+'S&amp;D'!B36</f>
        <v>WEC</v>
      </c>
      <c r="C62" s="95" t="str">
        <f>+'S&amp;D'!C36</f>
        <v>Electric Utility - Cent</v>
      </c>
      <c r="D62" s="234">
        <f>+'S&amp;D'!G60</f>
        <v>19973510400.899212</v>
      </c>
      <c r="E62" s="235">
        <f>+'S&amp;D'!J36</f>
        <v>20389500000</v>
      </c>
      <c r="F62" s="108">
        <f t="shared" si="1"/>
        <v>0.97959785187960524</v>
      </c>
    </row>
    <row r="63" spans="1:6" ht="27.75" customHeight="1" thickBot="1">
      <c r="E63" s="246" t="s">
        <v>314</v>
      </c>
      <c r="F63" s="247">
        <f>AVERAGE(F48:F62)</f>
        <v>1.6181099437674449</v>
      </c>
    </row>
    <row r="68" spans="1:6">
      <c r="C68" s="220" t="s">
        <v>309</v>
      </c>
      <c r="D68" s="220" t="s">
        <v>310</v>
      </c>
      <c r="E68" s="220"/>
    </row>
    <row r="69" spans="1:6">
      <c r="A69" s="222"/>
      <c r="B69" s="222"/>
      <c r="C69" s="221" t="s">
        <v>36</v>
      </c>
      <c r="D69" s="221" t="s">
        <v>311</v>
      </c>
      <c r="E69" s="221" t="s">
        <v>312</v>
      </c>
    </row>
    <row r="70" spans="1:6" ht="17.25">
      <c r="A70" s="90" t="s">
        <v>40</v>
      </c>
      <c r="B70" s="132" t="s">
        <v>0</v>
      </c>
      <c r="C70" s="132">
        <f>+'Yield CapRate'!C23</f>
        <v>0.59</v>
      </c>
      <c r="D70" s="226">
        <f>+F37</f>
        <v>2.9336833824316453</v>
      </c>
      <c r="E70" s="227">
        <f>+C70*D70</f>
        <v>1.7308731956346706</v>
      </c>
      <c r="F70" s="133" t="s">
        <v>0</v>
      </c>
    </row>
    <row r="71" spans="1:6" ht="17.25">
      <c r="A71" s="223" t="s">
        <v>42</v>
      </c>
      <c r="B71" s="224" t="str">
        <f>'S&amp;D'!I43</f>
        <v xml:space="preserve"> </v>
      </c>
      <c r="C71" s="224">
        <f>+'Yield CapRate'!C25</f>
        <v>0.41</v>
      </c>
      <c r="D71" s="225">
        <f>+F63</f>
        <v>1.6181099437674449</v>
      </c>
      <c r="E71" s="225">
        <f>+C71*D71</f>
        <v>0.66342507694465236</v>
      </c>
      <c r="F71" s="133" t="s">
        <v>0</v>
      </c>
    </row>
    <row r="72" spans="1:6" ht="17.25">
      <c r="D72" s="117" t="s">
        <v>313</v>
      </c>
      <c r="E72" s="248">
        <f>+E70+E71</f>
        <v>2.3942982725793227</v>
      </c>
    </row>
    <row r="75" spans="1:6" ht="20.25">
      <c r="A75" s="31" t="s">
        <v>401</v>
      </c>
    </row>
    <row r="76" spans="1:6" ht="20.25">
      <c r="A76" s="31" t="s">
        <v>385</v>
      </c>
    </row>
  </sheetData>
  <pageMargins left="0.25" right="0.25" top="0.75" bottom="0.75" header="0.3" footer="0.3"/>
  <pageSetup scale="37" orientation="landscape" r:id="rId1"/>
  <rowBreaks count="1" manualBreakCount="1">
    <brk id="41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>
    <tabColor rgb="FF92D050"/>
  </sheetPr>
  <dimension ref="A1:L84"/>
  <sheetViews>
    <sheetView view="pageBreakPreview" topLeftCell="A39" zoomScale="80" zoomScaleNormal="80" zoomScaleSheetLayoutView="80" workbookViewId="0">
      <selection activeCell="H55" activeCellId="1" sqref="H7 H55"/>
    </sheetView>
  </sheetViews>
  <sheetFormatPr defaultRowHeight="15"/>
  <cols>
    <col min="1" max="1" width="45.140625" customWidth="1"/>
    <col min="2" max="2" width="15.5703125" customWidth="1"/>
    <col min="3" max="3" width="10.5703125" customWidth="1"/>
    <col min="4" max="4" width="21.5703125" customWidth="1"/>
    <col min="5" max="5" width="22.42578125" customWidth="1"/>
    <col min="6" max="6" width="26.5703125" customWidth="1"/>
    <col min="7" max="7" width="26.42578125" customWidth="1"/>
    <col min="8" max="8" width="23.85546875" customWidth="1"/>
    <col min="9" max="9" width="15" customWidth="1"/>
    <col min="10" max="10" width="14.140625" bestFit="1" customWidth="1"/>
    <col min="11" max="11" width="17.5703125" bestFit="1" customWidth="1"/>
    <col min="12" max="12" width="23.140625" customWidth="1"/>
  </cols>
  <sheetData>
    <row r="1" spans="1:12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6.5">
      <c r="A3" s="27" t="s">
        <v>475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6.5">
      <c r="A4" s="27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6.5">
      <c r="A5" s="2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6.5">
      <c r="A6" s="27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17.25" thickBot="1">
      <c r="A7" s="13"/>
      <c r="B7" s="13"/>
      <c r="C7" s="13"/>
      <c r="D7" s="13"/>
      <c r="E7" s="13"/>
      <c r="F7" s="30"/>
      <c r="G7" s="30"/>
      <c r="H7" s="462" t="s">
        <v>0</v>
      </c>
      <c r="I7" s="13"/>
      <c r="J7" s="13"/>
      <c r="K7" s="13"/>
      <c r="L7" s="13"/>
    </row>
    <row r="8" spans="1:12" ht="27" thickBot="1">
      <c r="A8" s="240" t="str">
        <f>+'S&amp;D'!A12</f>
        <v>Electric Utilities</v>
      </c>
      <c r="B8" s="241"/>
      <c r="C8" s="177"/>
      <c r="D8" s="13"/>
      <c r="E8" s="13"/>
      <c r="F8" s="13"/>
      <c r="G8" s="32" t="s">
        <v>109</v>
      </c>
      <c r="H8" s="13"/>
      <c r="I8" s="13"/>
      <c r="J8" s="13"/>
      <c r="K8" s="13"/>
      <c r="L8" s="13"/>
    </row>
    <row r="9" spans="1:12" ht="20.25">
      <c r="A9" s="31"/>
      <c r="B9" s="13"/>
      <c r="C9" s="13"/>
      <c r="D9" s="13"/>
      <c r="E9" s="13"/>
      <c r="F9" s="13"/>
      <c r="G9" s="90" t="s">
        <v>110</v>
      </c>
      <c r="H9" s="13"/>
      <c r="I9" s="13"/>
      <c r="J9" s="13"/>
      <c r="K9" s="13"/>
      <c r="L9" s="13"/>
    </row>
    <row r="10" spans="1:12" ht="18" customHeight="1" thickBot="1">
      <c r="A10" s="41" t="s">
        <v>0</v>
      </c>
      <c r="B10" s="41" t="s">
        <v>0</v>
      </c>
      <c r="C10" s="41" t="s">
        <v>0</v>
      </c>
      <c r="D10" s="13"/>
      <c r="E10" s="13"/>
      <c r="F10" s="34" t="s">
        <v>0</v>
      </c>
      <c r="G10" s="33" t="s">
        <v>488</v>
      </c>
      <c r="H10" s="34" t="s">
        <v>0</v>
      </c>
      <c r="I10" s="41" t="s">
        <v>0</v>
      </c>
      <c r="J10" s="13"/>
      <c r="K10" s="13"/>
      <c r="L10" s="13"/>
    </row>
    <row r="11" spans="1:12" ht="18" customHeight="1">
      <c r="A11" s="41"/>
      <c r="B11" s="41"/>
      <c r="C11" s="41"/>
      <c r="D11" s="13"/>
      <c r="E11" s="13"/>
      <c r="J11" s="13"/>
      <c r="K11" s="13"/>
      <c r="L11" s="13"/>
    </row>
    <row r="12" spans="1:12" ht="18" customHeight="1">
      <c r="A12" s="41"/>
      <c r="B12" s="41"/>
      <c r="C12" s="41"/>
      <c r="D12" s="13"/>
      <c r="E12" s="13"/>
      <c r="G12" s="14" t="s">
        <v>0</v>
      </c>
      <c r="J12" s="13"/>
      <c r="K12" s="13"/>
      <c r="L12" s="13"/>
    </row>
    <row r="13" spans="1:12" ht="17.25" thickBot="1">
      <c r="A13" s="34"/>
      <c r="B13" s="34"/>
      <c r="C13" s="34"/>
      <c r="D13" s="34"/>
      <c r="E13" s="37"/>
      <c r="F13" s="34"/>
      <c r="G13" s="34"/>
      <c r="H13" s="34"/>
      <c r="I13" s="34"/>
      <c r="J13" s="30"/>
      <c r="K13" s="30"/>
      <c r="L13" s="30"/>
    </row>
    <row r="14" spans="1:12" ht="15" customHeight="1" thickBot="1">
      <c r="A14" s="34" t="s">
        <v>24</v>
      </c>
      <c r="B14" s="34" t="s">
        <v>122</v>
      </c>
      <c r="C14" s="34" t="s">
        <v>123</v>
      </c>
      <c r="D14" s="42" t="s">
        <v>124</v>
      </c>
      <c r="E14" s="34" t="s">
        <v>125</v>
      </c>
      <c r="F14" s="34" t="s">
        <v>126</v>
      </c>
      <c r="G14" s="34" t="s">
        <v>127</v>
      </c>
      <c r="H14" s="34" t="s">
        <v>128</v>
      </c>
      <c r="I14" s="34" t="s">
        <v>129</v>
      </c>
      <c r="J14" s="34" t="s">
        <v>130</v>
      </c>
      <c r="K14" s="34" t="s">
        <v>131</v>
      </c>
      <c r="L14" s="34" t="s">
        <v>139</v>
      </c>
    </row>
    <row r="15" spans="1:12" ht="16.5">
      <c r="A15" s="35" t="s">
        <v>0</v>
      </c>
      <c r="B15" s="35" t="s">
        <v>3</v>
      </c>
      <c r="C15" s="35" t="s">
        <v>111</v>
      </c>
      <c r="D15" s="35" t="s">
        <v>114</v>
      </c>
      <c r="E15" s="35" t="s">
        <v>114</v>
      </c>
      <c r="F15" s="35" t="s">
        <v>115</v>
      </c>
      <c r="G15" s="35" t="s">
        <v>118</v>
      </c>
      <c r="H15" s="35" t="s">
        <v>120</v>
      </c>
      <c r="I15" s="35" t="s">
        <v>142</v>
      </c>
      <c r="J15" s="35" t="s">
        <v>142</v>
      </c>
      <c r="K15" s="35" t="s">
        <v>135</v>
      </c>
      <c r="L15" s="35" t="s">
        <v>137</v>
      </c>
    </row>
    <row r="16" spans="1:12" ht="17.25" thickBot="1">
      <c r="A16" s="37" t="s">
        <v>2</v>
      </c>
      <c r="B16" s="37" t="s">
        <v>4</v>
      </c>
      <c r="C16" s="37" t="s">
        <v>112</v>
      </c>
      <c r="D16" s="37" t="s">
        <v>117</v>
      </c>
      <c r="E16" s="37" t="s">
        <v>116</v>
      </c>
      <c r="F16" s="37" t="s">
        <v>19</v>
      </c>
      <c r="G16" s="37" t="s">
        <v>119</v>
      </c>
      <c r="H16" s="37" t="s">
        <v>121</v>
      </c>
      <c r="I16" s="37" t="s">
        <v>0</v>
      </c>
      <c r="J16" s="37" t="s">
        <v>0</v>
      </c>
      <c r="K16" s="37" t="s">
        <v>136</v>
      </c>
      <c r="L16" s="37" t="s">
        <v>118</v>
      </c>
    </row>
    <row r="17" spans="1:12">
      <c r="A17" s="43" t="s">
        <v>7</v>
      </c>
      <c r="B17" s="43" t="s">
        <v>7</v>
      </c>
      <c r="C17" s="43" t="s">
        <v>113</v>
      </c>
      <c r="D17" s="43" t="s">
        <v>268</v>
      </c>
      <c r="E17" s="43" t="s">
        <v>268</v>
      </c>
      <c r="F17" s="43" t="s">
        <v>140</v>
      </c>
      <c r="G17" s="43" t="s">
        <v>267</v>
      </c>
      <c r="H17" s="43" t="s">
        <v>132</v>
      </c>
      <c r="I17" s="43" t="s">
        <v>133</v>
      </c>
      <c r="J17" s="43" t="s">
        <v>134</v>
      </c>
      <c r="K17" s="43" t="s">
        <v>141</v>
      </c>
      <c r="L17" s="43" t="s">
        <v>138</v>
      </c>
    </row>
    <row r="18" spans="1:12" ht="16.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ht="16.5">
      <c r="A19" s="13"/>
      <c r="B19" s="13"/>
      <c r="C19" s="13"/>
      <c r="D19" s="13" t="s">
        <v>0</v>
      </c>
      <c r="E19" s="13"/>
      <c r="F19" s="13" t="s">
        <v>0</v>
      </c>
      <c r="G19" s="13" t="s">
        <v>0</v>
      </c>
      <c r="H19" s="13"/>
      <c r="I19" s="13"/>
      <c r="J19" s="13"/>
      <c r="K19" s="13"/>
      <c r="L19" s="13"/>
    </row>
    <row r="20" spans="1:12" ht="22.5" customHeight="1">
      <c r="A20" s="63" t="str">
        <f>+'S&amp;D'!A22</f>
        <v>Alliant Energy</v>
      </c>
      <c r="B20" s="90" t="str">
        <f>+'S&amp;D'!B22</f>
        <v>LNT</v>
      </c>
      <c r="C20" s="66">
        <f>+'Growth &amp; Inflation Rates'!$D$56</f>
        <v>2.2800000000000001E-2</v>
      </c>
      <c r="D20" s="282">
        <f>17747000000+6690000000</f>
        <v>24437000000</v>
      </c>
      <c r="E20" s="282">
        <v>22943000000</v>
      </c>
      <c r="F20" s="128">
        <f t="shared" ref="F20:F34" si="0">(D20+E20)/2</f>
        <v>23690000000</v>
      </c>
      <c r="G20" s="128">
        <v>846000000</v>
      </c>
      <c r="H20" s="19">
        <f>+F20/G20</f>
        <v>28.002364066193852</v>
      </c>
      <c r="I20" s="45">
        <f t="shared" ref="I20:I34" si="1">+C20*H20</f>
        <v>0.63845390070921981</v>
      </c>
      <c r="J20" s="46">
        <f t="shared" ref="J20:J34" si="2">1/(1+C20)^H20</f>
        <v>0.53190823261650377</v>
      </c>
      <c r="K20" s="129">
        <f t="shared" ref="K20:K34" si="3">(G20*I20)/(1-J20)</f>
        <v>1153901943.2432849</v>
      </c>
      <c r="L20" s="130">
        <f t="shared" ref="L20:L34" si="4">+K20/G20</f>
        <v>1.3639502875216134</v>
      </c>
    </row>
    <row r="21" spans="1:12" ht="22.5" customHeight="1">
      <c r="A21" s="63" t="str">
        <f>+'S&amp;D'!A23</f>
        <v>AMEREN Corporation</v>
      </c>
      <c r="B21" s="90" t="str">
        <f>+'S&amp;D'!B23</f>
        <v>AEE</v>
      </c>
      <c r="C21" s="66">
        <f>+'Growth &amp; Inflation Rates'!$D$56</f>
        <v>2.2800000000000001E-2</v>
      </c>
      <c r="D21" s="282">
        <f>18788000000+10875000000</f>
        <v>29663000000</v>
      </c>
      <c r="E21" s="282">
        <v>29663000000</v>
      </c>
      <c r="F21" s="128">
        <f t="shared" si="0"/>
        <v>29663000000</v>
      </c>
      <c r="G21" s="128">
        <v>1568000000</v>
      </c>
      <c r="H21" s="19">
        <f>+F21/G21</f>
        <v>18.917729591836736</v>
      </c>
      <c r="I21" s="45">
        <f t="shared" si="1"/>
        <v>0.4313242346938776</v>
      </c>
      <c r="J21" s="46">
        <f t="shared" si="2"/>
        <v>0.65280251473727302</v>
      </c>
      <c r="K21" s="129">
        <f t="shared" si="3"/>
        <v>1947930007.2931874</v>
      </c>
      <c r="L21" s="130">
        <f t="shared" si="4"/>
        <v>1.2423023005696348</v>
      </c>
    </row>
    <row r="22" spans="1:12" ht="22.5" customHeight="1">
      <c r="A22" s="63" t="str">
        <f>+'S&amp;D'!A24</f>
        <v>American Electric Power</v>
      </c>
      <c r="B22" s="90" t="str">
        <f>+'S&amp;D'!B24</f>
        <v>AEP</v>
      </c>
      <c r="C22" s="66">
        <f>+'Growth &amp; Inflation Rates'!$D$56</f>
        <v>2.2800000000000001E-2</v>
      </c>
      <c r="D22" s="282">
        <v>120579000000</v>
      </c>
      <c r="E22" s="282">
        <v>108602000000</v>
      </c>
      <c r="F22" s="128">
        <f>(D22+E22)/2</f>
        <v>114590500000</v>
      </c>
      <c r="G22" s="128">
        <v>3380000000</v>
      </c>
      <c r="H22" s="19">
        <f t="shared" ref="H22:H34" si="5">+F22/G22</f>
        <v>33.90251479289941</v>
      </c>
      <c r="I22" s="45">
        <f t="shared" si="1"/>
        <v>0.77297733727810658</v>
      </c>
      <c r="J22" s="46">
        <f t="shared" si="2"/>
        <v>0.4656611348815915</v>
      </c>
      <c r="K22" s="129">
        <f>(G22*I22)/(1-J22)</f>
        <v>4889525300.4309158</v>
      </c>
      <c r="L22" s="130">
        <f>+K22/G22</f>
        <v>1.4466051184706852</v>
      </c>
    </row>
    <row r="23" spans="1:12" ht="22.5" customHeight="1">
      <c r="A23" s="63" t="str">
        <f>+'S&amp;D'!A25</f>
        <v>Centerpoint Energy</v>
      </c>
      <c r="B23" s="90" t="str">
        <f>+'S&amp;D'!B25</f>
        <v>CNP</v>
      </c>
      <c r="C23" s="66">
        <f>+'Growth &amp; Inflation Rates'!$D$56</f>
        <v>2.2800000000000001E-2</v>
      </c>
      <c r="D23" s="282">
        <v>44676000000</v>
      </c>
      <c r="E23" s="282">
        <v>42667000000</v>
      </c>
      <c r="F23" s="128">
        <f t="shared" si="0"/>
        <v>43671500000</v>
      </c>
      <c r="G23" s="128">
        <v>1530000000</v>
      </c>
      <c r="H23" s="19">
        <f t="shared" si="5"/>
        <v>28.543464052287582</v>
      </c>
      <c r="I23" s="45">
        <f t="shared" si="1"/>
        <v>0.65079098039215688</v>
      </c>
      <c r="J23" s="46">
        <f t="shared" si="2"/>
        <v>0.52545914407977867</v>
      </c>
      <c r="K23" s="129">
        <f t="shared" si="3"/>
        <v>2098260218.4360633</v>
      </c>
      <c r="L23" s="130">
        <f t="shared" si="4"/>
        <v>1.3714119074745512</v>
      </c>
    </row>
    <row r="24" spans="1:12" ht="22.5" customHeight="1">
      <c r="A24" s="63" t="str">
        <f>+'S&amp;D'!A26</f>
        <v>CMS Energy</v>
      </c>
      <c r="B24" s="90" t="str">
        <f>+'S&amp;D'!B26</f>
        <v>CMS</v>
      </c>
      <c r="C24" s="66">
        <f>+'Growth &amp; Inflation Rates'!$D$56</f>
        <v>2.2800000000000001E-2</v>
      </c>
      <c r="D24" s="282">
        <f>17747000000+6690000000</f>
        <v>24437000000</v>
      </c>
      <c r="E24" s="282">
        <v>35200000000</v>
      </c>
      <c r="F24" s="128">
        <f t="shared" si="0"/>
        <v>29818500000</v>
      </c>
      <c r="G24" s="128">
        <v>1306000000</v>
      </c>
      <c r="H24" s="19">
        <f t="shared" si="5"/>
        <v>22.831929555895865</v>
      </c>
      <c r="I24" s="45">
        <f t="shared" si="1"/>
        <v>0.52056799387442576</v>
      </c>
      <c r="J24" s="46">
        <f t="shared" si="2"/>
        <v>0.59766659862649363</v>
      </c>
      <c r="K24" s="129">
        <f t="shared" si="3"/>
        <v>1689797063.0304444</v>
      </c>
      <c r="L24" s="130">
        <f t="shared" si="4"/>
        <v>1.2938721768992683</v>
      </c>
    </row>
    <row r="25" spans="1:12" ht="22.5" customHeight="1">
      <c r="A25" s="63" t="str">
        <f>+'S&amp;D'!A27</f>
        <v>DTE Energy</v>
      </c>
      <c r="B25" s="90" t="str">
        <f>+'S&amp;D'!B27</f>
        <v>DTE</v>
      </c>
      <c r="C25" s="66">
        <f>+'Growth &amp; Inflation Rates'!$D$56</f>
        <v>2.2800000000000001E-2</v>
      </c>
      <c r="D25" s="282">
        <v>56213000000</v>
      </c>
      <c r="E25" s="282">
        <v>40840000000</v>
      </c>
      <c r="F25" s="128">
        <f t="shared" si="0"/>
        <v>48526500000</v>
      </c>
      <c r="G25" s="128">
        <v>1664000000</v>
      </c>
      <c r="H25" s="19">
        <f t="shared" si="5"/>
        <v>29.162560096153847</v>
      </c>
      <c r="I25" s="45">
        <f t="shared" si="1"/>
        <v>0.66490637019230769</v>
      </c>
      <c r="J25" s="46">
        <f t="shared" si="2"/>
        <v>0.51817631528579244</v>
      </c>
      <c r="K25" s="129">
        <f t="shared" si="3"/>
        <v>2296284377.6686916</v>
      </c>
      <c r="L25" s="130">
        <f t="shared" si="4"/>
        <v>1.3799785923489734</v>
      </c>
    </row>
    <row r="26" spans="1:12" ht="22.5" customHeight="1">
      <c r="A26" s="63" t="str">
        <f>+'S&amp;D'!A28</f>
        <v>Duke Energy</v>
      </c>
      <c r="B26" s="90" t="str">
        <f>+'S&amp;D'!B28</f>
        <v>DUK</v>
      </c>
      <c r="C26" s="66">
        <f>+'Growth &amp; Inflation Rates'!$D$56</f>
        <v>2.2800000000000001E-2</v>
      </c>
      <c r="D26" s="282">
        <v>190409000000</v>
      </c>
      <c r="E26" s="282">
        <v>180806000000</v>
      </c>
      <c r="F26" s="128">
        <f t="shared" si="0"/>
        <v>185607500000</v>
      </c>
      <c r="G26" s="128">
        <v>6324000000</v>
      </c>
      <c r="H26" s="19">
        <f t="shared" si="5"/>
        <v>29.349699557242253</v>
      </c>
      <c r="I26" s="45">
        <f t="shared" si="1"/>
        <v>0.66917314990512344</v>
      </c>
      <c r="J26" s="46">
        <f t="shared" si="2"/>
        <v>0.51599480416790999</v>
      </c>
      <c r="K26" s="129">
        <f t="shared" si="3"/>
        <v>8743399939.5909481</v>
      </c>
      <c r="L26" s="130">
        <f t="shared" si="4"/>
        <v>1.3825743104982524</v>
      </c>
    </row>
    <row r="27" spans="1:12" ht="22.5" customHeight="1">
      <c r="A27" s="63" t="str">
        <f>+'S&amp;D'!A29</f>
        <v>Entergy Corp</v>
      </c>
      <c r="B27" s="90" t="str">
        <f>+'S&amp;D'!B29</f>
        <v>ETR</v>
      </c>
      <c r="C27" s="66">
        <f>+'Growth &amp; Inflation Rates'!$D$56</f>
        <v>2.2800000000000001E-2</v>
      </c>
      <c r="D27" s="282">
        <v>81605615000</v>
      </c>
      <c r="E27" s="282">
        <v>74867690000</v>
      </c>
      <c r="F27" s="128">
        <f t="shared" si="0"/>
        <v>78236652500</v>
      </c>
      <c r="G27" s="128">
        <v>2077692000</v>
      </c>
      <c r="H27" s="19">
        <f t="shared" si="5"/>
        <v>37.655558427331869</v>
      </c>
      <c r="I27" s="45">
        <f t="shared" si="1"/>
        <v>0.85854673214316668</v>
      </c>
      <c r="J27" s="46">
        <f t="shared" si="2"/>
        <v>0.42788296375631935</v>
      </c>
      <c r="K27" s="129">
        <f t="shared" si="3"/>
        <v>3117885963.8786068</v>
      </c>
      <c r="L27" s="130">
        <f t="shared" si="4"/>
        <v>1.5006487794526844</v>
      </c>
    </row>
    <row r="28" spans="1:12" ht="22.5" customHeight="1">
      <c r="A28" s="63" t="str">
        <f>+'S&amp;D'!A30</f>
        <v>Evergy Inc</v>
      </c>
      <c r="B28" s="90" t="str">
        <f>+'S&amp;D'!B30</f>
        <v>EVRG</v>
      </c>
      <c r="C28" s="66">
        <f>+'Growth &amp; Inflation Rates'!$D$56</f>
        <v>2.2800000000000001E-2</v>
      </c>
      <c r="D28" s="282">
        <f>26301500000+1498600000</f>
        <v>27800100000</v>
      </c>
      <c r="E28" s="282">
        <v>37188500000</v>
      </c>
      <c r="F28" s="128">
        <f t="shared" ref="F28" si="6">(D28+E28)/2</f>
        <v>32494300000</v>
      </c>
      <c r="G28" s="128">
        <v>1162900000</v>
      </c>
      <c r="H28" s="19">
        <f t="shared" ref="H28" si="7">+F28/G28</f>
        <v>27.942471407687677</v>
      </c>
      <c r="I28" s="45">
        <f t="shared" ref="I28" si="8">+C28*H28</f>
        <v>0.63708834809527903</v>
      </c>
      <c r="J28" s="46">
        <f t="shared" ref="J28" si="9">1/(1+C28)^H28</f>
        <v>0.53262690974319504</v>
      </c>
      <c r="K28" s="129">
        <f t="shared" ref="K28" si="10">(G28*I28)/(1-J28)</f>
        <v>1585179068.8097129</v>
      </c>
      <c r="L28" s="130">
        <f t="shared" ref="L28" si="11">+K28/G28</f>
        <v>1.3631258653450107</v>
      </c>
    </row>
    <row r="29" spans="1:12" ht="22.5" customHeight="1">
      <c r="A29" s="63" t="str">
        <f>+'S&amp;D'!A31</f>
        <v>FirstEnergy Corp</v>
      </c>
      <c r="B29" s="90" t="str">
        <f>+'S&amp;D'!B31</f>
        <v>FE</v>
      </c>
      <c r="C29" s="66">
        <f>+'Growth &amp; Inflation Rates'!$D$56</f>
        <v>2.2800000000000001E-2</v>
      </c>
      <c r="D29" s="282">
        <f>12469000000+2804000000</f>
        <v>15273000000</v>
      </c>
      <c r="E29" s="282">
        <f>11212000000+2596000000</f>
        <v>13808000000</v>
      </c>
      <c r="F29" s="128">
        <f t="shared" si="0"/>
        <v>14540500000</v>
      </c>
      <c r="G29" s="128">
        <f>351000000+5000000</f>
        <v>356000000</v>
      </c>
      <c r="H29" s="19">
        <f t="shared" si="5"/>
        <v>40.844101123595507</v>
      </c>
      <c r="I29" s="45">
        <f t="shared" si="1"/>
        <v>0.93124550561797759</v>
      </c>
      <c r="J29" s="46">
        <f t="shared" si="2"/>
        <v>0.39820514646820226</v>
      </c>
      <c r="K29" s="129">
        <f t="shared" si="3"/>
        <v>550891052.08255637</v>
      </c>
      <c r="L29" s="130">
        <f t="shared" si="4"/>
        <v>1.5474467755127987</v>
      </c>
    </row>
    <row r="30" spans="1:12" ht="22.5" customHeight="1">
      <c r="A30" s="63" t="str">
        <f>+'S&amp;D'!A32</f>
        <v>OGE Energy Corp.</v>
      </c>
      <c r="B30" s="90" t="str">
        <f>+'S&amp;D'!B32</f>
        <v>OGE</v>
      </c>
      <c r="C30" s="66">
        <f>+'Growth &amp; Inflation Rates'!$D$56</f>
        <v>2.2800000000000001E-2</v>
      </c>
      <c r="D30" s="282">
        <v>17068800000</v>
      </c>
      <c r="E30" s="282">
        <v>17068800000</v>
      </c>
      <c r="F30" s="128">
        <f t="shared" si="0"/>
        <v>17068800000</v>
      </c>
      <c r="G30" s="128">
        <v>559800000</v>
      </c>
      <c r="H30" s="19">
        <f t="shared" si="5"/>
        <v>30.490889603429796</v>
      </c>
      <c r="I30" s="45">
        <f t="shared" si="1"/>
        <v>0.69519228295819935</v>
      </c>
      <c r="J30" s="46">
        <f t="shared" si="2"/>
        <v>0.50288913998985252</v>
      </c>
      <c r="K30" s="129">
        <f t="shared" si="3"/>
        <v>782860869.28790081</v>
      </c>
      <c r="L30" s="130">
        <f t="shared" si="4"/>
        <v>1.3984652899033598</v>
      </c>
    </row>
    <row r="31" spans="1:12" ht="22.5" customHeight="1">
      <c r="A31" s="63" t="str">
        <f>+'S&amp;D'!A33</f>
        <v>Otter Tail Corp</v>
      </c>
      <c r="B31" s="90" t="str">
        <f>+'S&amp;D'!B33</f>
        <v>OTTR</v>
      </c>
      <c r="C31" s="66">
        <f>+'Growth &amp; Inflation Rates'!$D$56</f>
        <v>2.2800000000000001E-2</v>
      </c>
      <c r="D31" s="282">
        <f>3412833000+403101000</f>
        <v>3815934000</v>
      </c>
      <c r="E31" s="282">
        <v>3815934000</v>
      </c>
      <c r="F31" s="128">
        <f t="shared" si="0"/>
        <v>3815934000</v>
      </c>
      <c r="G31" s="128">
        <v>118107000</v>
      </c>
      <c r="H31" s="19">
        <f t="shared" si="5"/>
        <v>32.30912647006528</v>
      </c>
      <c r="I31" s="45">
        <f t="shared" si="1"/>
        <v>0.73664808351748845</v>
      </c>
      <c r="J31" s="46">
        <f t="shared" si="2"/>
        <v>0.48269234359497787</v>
      </c>
      <c r="K31" s="129">
        <f t="shared" si="3"/>
        <v>168184820.23757529</v>
      </c>
      <c r="L31" s="130">
        <f t="shared" si="4"/>
        <v>1.4240038290497201</v>
      </c>
    </row>
    <row r="32" spans="1:12" ht="22.5" customHeight="1">
      <c r="A32" s="63" t="str">
        <f>+'S&amp;D'!A34</f>
        <v>PPL Corporation</v>
      </c>
      <c r="B32" s="90" t="str">
        <f>+'S&amp;D'!B34</f>
        <v>PPL</v>
      </c>
      <c r="C32" s="66">
        <f>+'Growth &amp; Inflation Rates'!$D$56</f>
        <v>2.2800000000000001E-2</v>
      </c>
      <c r="D32" s="282">
        <f>40391000000+79000000+2390000000</f>
        <v>42860000000</v>
      </c>
      <c r="E32" s="282">
        <v>40470000000</v>
      </c>
      <c r="F32" s="128">
        <f t="shared" si="0"/>
        <v>41665000000</v>
      </c>
      <c r="G32" s="128">
        <v>1312000000</v>
      </c>
      <c r="H32" s="19">
        <f t="shared" si="5"/>
        <v>31.756859756097562</v>
      </c>
      <c r="I32" s="45">
        <f t="shared" si="1"/>
        <v>0.72405640243902447</v>
      </c>
      <c r="J32" s="46">
        <f t="shared" si="2"/>
        <v>0.4887395656787234</v>
      </c>
      <c r="K32" s="129">
        <f t="shared" si="3"/>
        <v>1858078459.0951607</v>
      </c>
      <c r="L32" s="130">
        <f t="shared" si="4"/>
        <v>1.41621833772497</v>
      </c>
    </row>
    <row r="33" spans="1:12" ht="22.5" customHeight="1">
      <c r="A33" s="63" t="str">
        <f>+'S&amp;D'!A35</f>
        <v>The Southern Company</v>
      </c>
      <c r="B33" s="90" t="str">
        <f>+'S&amp;D'!B35</f>
        <v>SO</v>
      </c>
      <c r="C33" s="66">
        <f>+'Growth &amp; Inflation Rates'!$D$56</f>
        <v>2.2800000000000001E-2</v>
      </c>
      <c r="D33" s="282">
        <f>104689000000+40126000000</f>
        <v>144815000000</v>
      </c>
      <c r="E33" s="282">
        <v>143532000000</v>
      </c>
      <c r="F33" s="128">
        <f t="shared" si="0"/>
        <v>144173500000</v>
      </c>
      <c r="G33" s="128">
        <v>5501000000</v>
      </c>
      <c r="H33" s="19">
        <f t="shared" si="5"/>
        <v>26.208598436647883</v>
      </c>
      <c r="I33" s="45">
        <f t="shared" si="1"/>
        <v>0.59755604435557175</v>
      </c>
      <c r="J33" s="46">
        <f t="shared" si="2"/>
        <v>0.55385868220679102</v>
      </c>
      <c r="K33" s="129">
        <f t="shared" si="3"/>
        <v>7367969898.5504637</v>
      </c>
      <c r="L33" s="130">
        <f t="shared" si="4"/>
        <v>1.3393873656699624</v>
      </c>
    </row>
    <row r="34" spans="1:12" ht="22.5" customHeight="1">
      <c r="A34" s="63" t="str">
        <f>+'S&amp;D'!A36</f>
        <v>WEC Energy Group</v>
      </c>
      <c r="B34" s="90" t="str">
        <f>+'S&amp;D'!B36</f>
        <v>WEC</v>
      </c>
      <c r="C34" s="66">
        <f>+'Growth &amp; Inflation Rates'!$D$56</f>
        <v>2.2800000000000001E-2</v>
      </c>
      <c r="D34" s="282">
        <f>38278100000+10180200000+1559100000</f>
        <v>50017400000</v>
      </c>
      <c r="E34" s="282">
        <v>57330400000</v>
      </c>
      <c r="F34" s="128">
        <f t="shared" si="0"/>
        <v>53673900000</v>
      </c>
      <c r="G34" s="128">
        <v>1478500000</v>
      </c>
      <c r="H34" s="19">
        <f t="shared" si="5"/>
        <v>36.302942171119376</v>
      </c>
      <c r="I34" s="45">
        <f t="shared" si="1"/>
        <v>0.82770708150152184</v>
      </c>
      <c r="J34" s="46">
        <f t="shared" si="2"/>
        <v>0.44113151096436565</v>
      </c>
      <c r="K34" s="129">
        <f t="shared" si="3"/>
        <v>2189718948.2121091</v>
      </c>
      <c r="L34" s="130">
        <f t="shared" si="4"/>
        <v>1.4810408848238816</v>
      </c>
    </row>
    <row r="35" spans="1:12" ht="22.5" customHeight="1" thickBot="1">
      <c r="A35" s="13"/>
      <c r="B35" s="13"/>
      <c r="D35" s="47"/>
      <c r="E35" s="47"/>
      <c r="F35" s="47"/>
      <c r="G35" s="47"/>
      <c r="H35" s="47"/>
      <c r="I35" s="47" t="s">
        <v>63</v>
      </c>
      <c r="J35" s="47"/>
      <c r="K35" s="47"/>
      <c r="L35" s="47"/>
    </row>
    <row r="36" spans="1:12" ht="22.5" customHeight="1" thickTop="1">
      <c r="A36" s="13"/>
      <c r="B36" s="13"/>
      <c r="D36" s="48" t="s">
        <v>0</v>
      </c>
      <c r="E36" s="35" t="s">
        <v>0</v>
      </c>
      <c r="F36" s="35"/>
      <c r="G36" s="48" t="s">
        <v>0</v>
      </c>
      <c r="H36" s="35"/>
      <c r="I36" s="48" t="s">
        <v>0</v>
      </c>
      <c r="J36" s="48" t="s">
        <v>0</v>
      </c>
      <c r="K36" s="15" t="s">
        <v>64</v>
      </c>
      <c r="L36" s="275">
        <f>MAX(L20:L34)</f>
        <v>1.5474467755127987</v>
      </c>
    </row>
    <row r="37" spans="1:12" ht="22.5" customHeight="1">
      <c r="B37" s="13"/>
      <c r="D37" s="35" t="s">
        <v>0</v>
      </c>
      <c r="E37" s="35" t="s">
        <v>0</v>
      </c>
      <c r="F37" s="35"/>
      <c r="G37" s="48"/>
      <c r="H37" s="35"/>
      <c r="I37" s="48"/>
      <c r="J37" s="48"/>
      <c r="K37" s="15" t="s">
        <v>65</v>
      </c>
      <c r="L37" s="276">
        <f>MIN(L20:L34)</f>
        <v>1.2423023005696348</v>
      </c>
    </row>
    <row r="38" spans="1:12" ht="22.5" customHeight="1">
      <c r="A38" s="438"/>
      <c r="B38" s="13"/>
      <c r="C38" s="13"/>
      <c r="D38" s="285" t="s">
        <v>0</v>
      </c>
      <c r="E38" s="13"/>
      <c r="F38" s="13"/>
      <c r="G38" s="13"/>
      <c r="H38" s="13"/>
      <c r="I38" s="13"/>
      <c r="J38" s="13"/>
      <c r="K38" s="15" t="s">
        <v>18</v>
      </c>
      <c r="L38" s="55">
        <f>MEDIAN(L20:L34)</f>
        <v>1.3825743104982524</v>
      </c>
    </row>
    <row r="39" spans="1:12" ht="22.5" customHeight="1">
      <c r="A39" s="13"/>
      <c r="B39" s="13"/>
      <c r="C39" s="13"/>
      <c r="D39" s="13" t="s">
        <v>0</v>
      </c>
      <c r="E39" s="13"/>
      <c r="F39" s="13"/>
      <c r="G39" s="13"/>
      <c r="H39" s="13"/>
      <c r="I39" s="13"/>
      <c r="J39" s="13"/>
      <c r="K39" s="15" t="s">
        <v>400</v>
      </c>
      <c r="L39" s="55">
        <f>AVERAGE(L20:L34)</f>
        <v>1.3967354547510245</v>
      </c>
    </row>
    <row r="40" spans="1:12" ht="22.5" customHeight="1" thickBot="1">
      <c r="A40" s="13"/>
      <c r="B40" s="13"/>
      <c r="C40" s="13"/>
      <c r="D40" s="13"/>
      <c r="E40" s="13"/>
      <c r="F40" s="13"/>
      <c r="G40" s="13" t="s">
        <v>0</v>
      </c>
      <c r="H40" s="13"/>
      <c r="I40" s="13"/>
      <c r="J40" s="13"/>
      <c r="K40" s="13"/>
      <c r="L40" s="13"/>
    </row>
    <row r="41" spans="1:12" ht="22.5" customHeight="1" thickBo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83" t="s">
        <v>235</v>
      </c>
      <c r="L41" s="330">
        <v>1.3967000000000001</v>
      </c>
    </row>
    <row r="42" spans="1:12" ht="16.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6.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20.25">
      <c r="A44" s="31" t="s">
        <v>105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16.5">
      <c r="A45" s="13" t="s">
        <v>280</v>
      </c>
    </row>
    <row r="46" spans="1:12" ht="16.5">
      <c r="A46" s="13"/>
    </row>
    <row r="47" spans="1:12" ht="16.5">
      <c r="A47" s="13" t="s">
        <v>386</v>
      </c>
    </row>
    <row r="48" spans="1:12" ht="20.25">
      <c r="A48" s="213"/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</row>
    <row r="49" spans="1:12" ht="26.25">
      <c r="A49" s="25" t="s">
        <v>1</v>
      </c>
      <c r="B49" s="13"/>
      <c r="C49" s="13"/>
      <c r="D49" s="13"/>
      <c r="E49" s="13"/>
      <c r="F49" s="13"/>
      <c r="G49" s="13"/>
      <c r="H49" s="13"/>
      <c r="I49" s="13"/>
      <c r="J49" s="13"/>
      <c r="K49" s="213"/>
      <c r="L49" s="213"/>
    </row>
    <row r="50" spans="1:12" ht="20.25">
      <c r="A50" s="26" t="s">
        <v>9</v>
      </c>
      <c r="B50" s="13"/>
      <c r="C50" s="13"/>
      <c r="D50" s="13"/>
      <c r="E50" s="13"/>
      <c r="F50" s="13"/>
      <c r="G50" s="13"/>
      <c r="H50" s="13"/>
      <c r="I50" s="13"/>
      <c r="J50" s="13"/>
      <c r="K50" s="213"/>
      <c r="L50" s="213"/>
    </row>
    <row r="51" spans="1:12" ht="20.25">
      <c r="A51" s="27" t="s">
        <v>475</v>
      </c>
      <c r="B51" s="13"/>
      <c r="C51" s="13"/>
      <c r="D51" s="13"/>
      <c r="E51" s="13"/>
      <c r="F51" s="13"/>
      <c r="G51" s="13"/>
      <c r="H51" s="13"/>
      <c r="I51" s="13"/>
      <c r="J51" s="13"/>
      <c r="K51" s="213"/>
      <c r="L51" s="213"/>
    </row>
    <row r="52" spans="1:12" ht="20.25">
      <c r="A52" s="27"/>
      <c r="B52" s="13"/>
      <c r="C52" s="13"/>
      <c r="D52" s="13"/>
      <c r="E52" s="13"/>
      <c r="F52" s="13"/>
      <c r="G52" s="13"/>
      <c r="H52" s="13"/>
      <c r="I52" s="13"/>
      <c r="J52" s="13"/>
      <c r="K52" s="213"/>
      <c r="L52" s="213"/>
    </row>
    <row r="53" spans="1:12" ht="20.25">
      <c r="A53" s="27"/>
      <c r="B53" s="13"/>
      <c r="C53" s="13"/>
      <c r="D53" s="13"/>
      <c r="E53" s="13"/>
      <c r="F53" s="13"/>
      <c r="G53" s="13"/>
      <c r="H53" s="13"/>
      <c r="I53" s="13"/>
      <c r="J53" s="13"/>
      <c r="K53" s="213"/>
      <c r="L53" s="213"/>
    </row>
    <row r="54" spans="1:12" ht="20.25">
      <c r="A54" s="27"/>
      <c r="B54" s="13"/>
      <c r="C54" s="13"/>
      <c r="D54" s="13"/>
      <c r="E54" s="13"/>
      <c r="F54" s="13"/>
      <c r="G54" s="13"/>
      <c r="H54" s="13"/>
      <c r="I54" s="13"/>
      <c r="J54" s="13"/>
      <c r="K54" s="213"/>
      <c r="L54" s="213"/>
    </row>
    <row r="55" spans="1:12" ht="21" thickBot="1">
      <c r="B55" s="13"/>
      <c r="C55" s="13"/>
      <c r="D55" s="13"/>
      <c r="E55" s="13"/>
      <c r="F55" s="30"/>
      <c r="G55" s="30"/>
      <c r="H55" s="462" t="s">
        <v>0</v>
      </c>
      <c r="I55" s="13"/>
      <c r="J55" s="13"/>
      <c r="K55" s="213"/>
      <c r="L55" s="213"/>
    </row>
    <row r="56" spans="1:12" ht="26.25">
      <c r="B56" s="13"/>
      <c r="C56" s="13"/>
      <c r="D56" s="13"/>
      <c r="E56" s="13"/>
      <c r="F56" s="13"/>
      <c r="G56" s="32" t="s">
        <v>303</v>
      </c>
      <c r="H56" s="13"/>
      <c r="I56" s="13"/>
      <c r="J56" s="13"/>
      <c r="K56" s="213"/>
      <c r="L56" s="213"/>
    </row>
    <row r="57" spans="1:12" ht="21" thickBot="1">
      <c r="B57" s="41" t="s">
        <v>0</v>
      </c>
      <c r="C57" s="41" t="s">
        <v>0</v>
      </c>
      <c r="D57" s="13"/>
      <c r="E57" s="13"/>
      <c r="F57" s="34" t="s">
        <v>0</v>
      </c>
      <c r="G57" s="33" t="s">
        <v>488</v>
      </c>
      <c r="H57" s="34" t="s">
        <v>0</v>
      </c>
      <c r="I57" s="41" t="s">
        <v>0</v>
      </c>
      <c r="J57" s="13"/>
      <c r="K57" s="213"/>
      <c r="L57" s="213"/>
    </row>
    <row r="58" spans="1:12" ht="20.25">
      <c r="A58" s="213"/>
      <c r="B58" s="213"/>
      <c r="C58" s="213"/>
      <c r="D58" s="213"/>
      <c r="E58" s="213"/>
      <c r="F58" s="213"/>
      <c r="G58" s="213"/>
      <c r="H58" s="213"/>
      <c r="I58" s="213"/>
      <c r="J58" s="213"/>
      <c r="K58" s="213"/>
      <c r="L58" s="213"/>
    </row>
    <row r="59" spans="1:12" ht="20.25">
      <c r="A59" s="213"/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</row>
    <row r="60" spans="1:12" ht="20.25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</row>
    <row r="61" spans="1:12" ht="16.5">
      <c r="A61" s="41"/>
      <c r="B61" s="41"/>
      <c r="C61" s="41"/>
      <c r="D61" s="13"/>
      <c r="E61" s="13"/>
      <c r="J61" s="13"/>
      <c r="K61" s="13"/>
      <c r="L61" s="13"/>
    </row>
    <row r="62" spans="1:12" ht="31.5">
      <c r="A62" s="207" t="s">
        <v>292</v>
      </c>
      <c r="B62" s="41"/>
      <c r="C62" s="209" t="s">
        <v>297</v>
      </c>
      <c r="D62" s="13"/>
      <c r="E62" s="13"/>
      <c r="J62" s="13"/>
      <c r="K62" s="13"/>
      <c r="L62" s="13"/>
    </row>
    <row r="63" spans="1:12" ht="31.5">
      <c r="A63" s="207" t="s">
        <v>296</v>
      </c>
      <c r="B63" s="41"/>
      <c r="C63" s="209" t="s">
        <v>302</v>
      </c>
      <c r="D63" s="13"/>
      <c r="E63" s="13"/>
      <c r="J63" s="13"/>
      <c r="K63" s="13"/>
      <c r="L63" s="13"/>
    </row>
    <row r="64" spans="1:12" ht="18.75" customHeight="1">
      <c r="A64" s="207"/>
      <c r="B64" s="41"/>
      <c r="C64" s="209"/>
      <c r="D64" s="13"/>
      <c r="E64" s="13"/>
      <c r="J64" s="13"/>
      <c r="K64" s="13"/>
      <c r="L64" s="13"/>
    </row>
    <row r="65" spans="1:12" ht="17.25">
      <c r="A65" s="208" t="s">
        <v>293</v>
      </c>
      <c r="B65" s="41"/>
      <c r="C65" s="41"/>
      <c r="D65" s="13"/>
      <c r="E65" s="13"/>
      <c r="J65" s="13"/>
      <c r="K65" s="13"/>
      <c r="L65" s="13"/>
    </row>
    <row r="66" spans="1:12" ht="17.25">
      <c r="A66" s="208" t="s">
        <v>294</v>
      </c>
      <c r="B66" s="41"/>
      <c r="C66" s="41"/>
      <c r="D66" s="13"/>
      <c r="E66" s="13"/>
      <c r="J66" s="13"/>
      <c r="K66" s="13"/>
      <c r="L66" s="13"/>
    </row>
    <row r="67" spans="1:12" ht="17.25">
      <c r="A67" s="208" t="s">
        <v>295</v>
      </c>
      <c r="B67" s="41"/>
      <c r="C67" s="41"/>
      <c r="D67" s="13"/>
      <c r="E67" s="13"/>
      <c r="J67" s="13"/>
      <c r="K67" s="13"/>
      <c r="L67" s="13"/>
    </row>
    <row r="73" spans="1:12" ht="31.5">
      <c r="A73" s="210" t="s">
        <v>301</v>
      </c>
      <c r="B73" s="110"/>
      <c r="C73" s="110"/>
      <c r="D73" s="110"/>
      <c r="E73" s="110"/>
      <c r="F73" s="110"/>
      <c r="G73" s="13"/>
      <c r="H73" s="13"/>
      <c r="I73" s="13"/>
    </row>
    <row r="74" spans="1:12" ht="17.25">
      <c r="A74" s="110"/>
      <c r="B74" s="110"/>
      <c r="C74" s="110"/>
      <c r="D74" s="110"/>
      <c r="E74" s="110"/>
      <c r="F74" s="110"/>
      <c r="G74" s="13"/>
      <c r="H74" s="13"/>
      <c r="I74" s="13"/>
    </row>
    <row r="75" spans="1:12" ht="18" thickBot="1">
      <c r="A75" s="211" t="s">
        <v>298</v>
      </c>
      <c r="B75" s="111"/>
      <c r="C75" s="111"/>
      <c r="D75" s="212" t="s">
        <v>300</v>
      </c>
      <c r="E75" s="111"/>
      <c r="F75" s="110"/>
      <c r="G75" s="13"/>
      <c r="H75" s="13"/>
      <c r="I75" s="13"/>
    </row>
    <row r="76" spans="1:12" ht="17.25">
      <c r="A76" s="110"/>
      <c r="B76" s="110"/>
      <c r="C76" s="110"/>
      <c r="D76" s="110" t="s">
        <v>299</v>
      </c>
      <c r="E76" s="110"/>
      <c r="F76" s="110"/>
      <c r="G76" s="13"/>
      <c r="H76" s="13"/>
      <c r="I76" s="13"/>
    </row>
    <row r="77" spans="1:12" ht="17.25">
      <c r="A77" s="110"/>
      <c r="B77" s="110"/>
      <c r="C77" s="110"/>
      <c r="D77" s="110"/>
      <c r="E77" s="110"/>
      <c r="F77" s="110"/>
      <c r="G77" s="13"/>
      <c r="H77" s="13"/>
      <c r="I77" s="13"/>
    </row>
    <row r="78" spans="1:12" ht="16.5">
      <c r="A78" s="13"/>
      <c r="B78" s="13"/>
      <c r="C78" s="13"/>
      <c r="D78" s="13"/>
      <c r="E78" s="13"/>
      <c r="F78" s="13"/>
      <c r="G78" s="13"/>
      <c r="H78" s="13"/>
      <c r="I78" s="13"/>
    </row>
    <row r="79" spans="1:12" ht="16.5">
      <c r="A79" s="13"/>
      <c r="B79" s="13"/>
      <c r="C79" s="13"/>
      <c r="D79" s="13"/>
      <c r="E79" s="13"/>
      <c r="F79" s="13"/>
      <c r="G79" s="13"/>
      <c r="H79" s="13"/>
      <c r="I79" s="13"/>
    </row>
    <row r="80" spans="1:12" ht="16.5">
      <c r="A80" s="13"/>
      <c r="B80" s="13"/>
      <c r="C80" s="13"/>
      <c r="D80" s="13"/>
      <c r="E80" s="13"/>
      <c r="F80" s="13"/>
      <c r="G80" s="13"/>
      <c r="H80" s="13"/>
      <c r="I80" s="13"/>
    </row>
    <row r="81" spans="1:9" ht="16.5">
      <c r="A81" s="13"/>
      <c r="B81" s="13"/>
      <c r="C81" s="13"/>
      <c r="D81" s="13"/>
      <c r="E81" s="13"/>
      <c r="F81" s="13"/>
      <c r="G81" s="13"/>
      <c r="H81" s="13"/>
      <c r="I81" s="13"/>
    </row>
    <row r="82" spans="1:9" ht="16.5">
      <c r="A82" s="13"/>
      <c r="B82" s="13"/>
      <c r="C82" s="13"/>
      <c r="D82" s="13"/>
      <c r="E82" s="13"/>
      <c r="F82" s="13"/>
      <c r="G82" s="13"/>
      <c r="H82" s="13"/>
      <c r="I82" s="13"/>
    </row>
    <row r="83" spans="1:9" ht="16.5">
      <c r="A83" s="13" t="s">
        <v>0</v>
      </c>
      <c r="B83" s="13"/>
      <c r="C83" s="13"/>
      <c r="D83" s="13"/>
      <c r="E83" s="13"/>
      <c r="F83" s="13"/>
      <c r="G83" s="13"/>
      <c r="H83" s="13"/>
      <c r="I83" s="13"/>
    </row>
    <row r="84" spans="1:9" ht="16.5">
      <c r="A84" s="13"/>
      <c r="B84" s="13"/>
      <c r="C84" s="13"/>
      <c r="D84" s="13"/>
      <c r="E84" s="13"/>
      <c r="F84" s="13"/>
      <c r="G84" s="13"/>
      <c r="H84" s="13"/>
      <c r="I84" s="13"/>
    </row>
  </sheetData>
  <pageMargins left="0.25" right="0.25" top="0.75" bottom="0.75" header="0.3" footer="0.3"/>
  <pageSetup scale="51" orientation="landscape" r:id="rId1"/>
  <rowBreaks count="1" manualBreakCount="1">
    <brk id="47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>
    <tabColor rgb="FF92D050"/>
  </sheetPr>
  <dimension ref="A1:I42"/>
  <sheetViews>
    <sheetView view="pageBreakPreview" topLeftCell="A12" zoomScale="80" zoomScaleNormal="80" zoomScaleSheetLayoutView="80" workbookViewId="0">
      <selection activeCell="A18" sqref="A18:XFD18"/>
    </sheetView>
  </sheetViews>
  <sheetFormatPr defaultRowHeight="15"/>
  <cols>
    <col min="1" max="1" width="45.140625" customWidth="1"/>
    <col min="2" max="2" width="17" customWidth="1"/>
    <col min="3" max="3" width="28.85546875" customWidth="1"/>
    <col min="4" max="4" width="16.85546875" customWidth="1"/>
    <col min="5" max="5" width="25.42578125" customWidth="1"/>
    <col min="6" max="6" width="25.28515625" customWidth="1"/>
    <col min="7" max="7" width="26" customWidth="1"/>
    <col min="8" max="8" width="35.28515625" customWidth="1"/>
    <col min="9" max="9" width="14.140625" bestFit="1" customWidth="1"/>
    <col min="11" max="11" width="10.5703125" customWidth="1"/>
  </cols>
  <sheetData>
    <row r="1" spans="1:8" ht="26.25">
      <c r="A1" s="25" t="s">
        <v>1</v>
      </c>
      <c r="B1" s="13"/>
      <c r="C1" s="13"/>
      <c r="D1" s="13"/>
      <c r="E1" s="13"/>
      <c r="F1" s="13"/>
      <c r="G1" s="13"/>
      <c r="H1" s="13"/>
    </row>
    <row r="2" spans="1:8" ht="17.25">
      <c r="A2" s="26" t="s">
        <v>9</v>
      </c>
      <c r="B2" s="13"/>
      <c r="C2" s="13"/>
      <c r="D2" s="13"/>
      <c r="E2" s="13"/>
      <c r="F2" s="13"/>
      <c r="G2" s="13"/>
      <c r="H2" s="13"/>
    </row>
    <row r="3" spans="1:8" ht="16.5">
      <c r="A3" s="27" t="s">
        <v>475</v>
      </c>
      <c r="B3" s="13"/>
      <c r="C3" s="13"/>
      <c r="D3" s="13"/>
      <c r="E3" s="13"/>
      <c r="F3" s="13"/>
      <c r="G3" s="13"/>
      <c r="H3" s="13"/>
    </row>
    <row r="4" spans="1:8" ht="16.5">
      <c r="A4" s="27"/>
      <c r="B4" s="13"/>
      <c r="C4" s="13"/>
      <c r="D4" s="13"/>
      <c r="E4" s="13"/>
      <c r="F4" s="13"/>
      <c r="G4" s="13"/>
      <c r="H4" s="13"/>
    </row>
    <row r="5" spans="1:8" ht="16.5">
      <c r="A5" s="27"/>
      <c r="B5" s="13"/>
      <c r="C5" s="13"/>
      <c r="D5" s="13"/>
      <c r="E5" s="13"/>
      <c r="F5" s="13"/>
      <c r="G5" s="13"/>
      <c r="H5" s="13"/>
    </row>
    <row r="6" spans="1:8" ht="16.5">
      <c r="A6" s="27"/>
      <c r="B6" s="13"/>
      <c r="C6" s="13"/>
      <c r="D6" s="13"/>
      <c r="E6" s="13"/>
      <c r="F6" s="13"/>
      <c r="G6" s="13"/>
      <c r="H6" s="13"/>
    </row>
    <row r="7" spans="1:8" ht="17.25" thickBot="1">
      <c r="A7" s="13"/>
      <c r="B7" s="13"/>
      <c r="C7" s="13"/>
      <c r="H7" s="13"/>
    </row>
    <row r="8" spans="1:8" ht="21" thickBot="1">
      <c r="A8" s="240" t="str">
        <f>+'S&amp;D'!A12</f>
        <v>Electric Utilities</v>
      </c>
      <c r="B8" s="177"/>
      <c r="C8" s="13"/>
      <c r="D8" s="30"/>
      <c r="E8" s="30"/>
      <c r="F8" s="30"/>
      <c r="H8" s="13"/>
    </row>
    <row r="9" spans="1:8" ht="26.25">
      <c r="A9" s="31"/>
      <c r="B9" s="13"/>
      <c r="C9" s="13"/>
      <c r="D9" s="13"/>
      <c r="E9" s="32" t="s">
        <v>151</v>
      </c>
      <c r="F9" s="32"/>
      <c r="H9" s="13"/>
    </row>
    <row r="10" spans="1:8" ht="21" thickBot="1">
      <c r="A10" s="31"/>
      <c r="B10" s="13"/>
      <c r="C10" s="13"/>
      <c r="D10" s="30"/>
      <c r="E10" s="33" t="s">
        <v>488</v>
      </c>
      <c r="F10" s="37"/>
      <c r="H10" s="13"/>
    </row>
    <row r="11" spans="1:8" ht="20.25">
      <c r="A11" s="31"/>
      <c r="B11" s="13"/>
      <c r="H11" s="13"/>
    </row>
    <row r="12" spans="1:8" ht="17.25" thickBot="1">
      <c r="A12" s="34" t="s">
        <v>0</v>
      </c>
      <c r="B12" s="34" t="s">
        <v>0</v>
      </c>
      <c r="C12" s="34" t="s">
        <v>0</v>
      </c>
      <c r="D12" s="34" t="s">
        <v>0</v>
      </c>
      <c r="E12" s="34" t="s">
        <v>0</v>
      </c>
      <c r="F12" s="34"/>
      <c r="G12" s="34"/>
      <c r="H12" s="30"/>
    </row>
    <row r="13" spans="1:8" ht="17.25">
      <c r="A13" s="90" t="s">
        <v>0</v>
      </c>
      <c r="B13" s="90" t="s">
        <v>3</v>
      </c>
      <c r="C13" s="90" t="s">
        <v>5</v>
      </c>
      <c r="D13" s="90" t="s">
        <v>21</v>
      </c>
      <c r="E13" s="166" t="s">
        <v>254</v>
      </c>
      <c r="F13" s="166" t="s">
        <v>343</v>
      </c>
      <c r="G13" s="90" t="s">
        <v>20</v>
      </c>
      <c r="H13" s="90" t="s">
        <v>172</v>
      </c>
    </row>
    <row r="14" spans="1:8" ht="18" thickBot="1">
      <c r="A14" s="97" t="s">
        <v>2</v>
      </c>
      <c r="B14" s="97" t="s">
        <v>4</v>
      </c>
      <c r="C14" s="97" t="s">
        <v>6</v>
      </c>
      <c r="D14" s="97" t="s">
        <v>23</v>
      </c>
      <c r="E14" s="97" t="s">
        <v>344</v>
      </c>
      <c r="F14" s="97" t="s">
        <v>216</v>
      </c>
      <c r="G14" s="97" t="s">
        <v>22</v>
      </c>
      <c r="H14" s="97" t="s">
        <v>149</v>
      </c>
    </row>
    <row r="15" spans="1:8">
      <c r="A15" s="39" t="s">
        <v>7</v>
      </c>
      <c r="B15" s="39" t="s">
        <v>7</v>
      </c>
      <c r="C15" s="39" t="s">
        <v>7</v>
      </c>
      <c r="D15" s="39" t="s">
        <v>7</v>
      </c>
      <c r="E15" s="203" t="s">
        <v>476</v>
      </c>
      <c r="F15" s="203" t="s">
        <v>476</v>
      </c>
      <c r="G15" s="39" t="s">
        <v>7</v>
      </c>
      <c r="H15" s="203" t="s">
        <v>476</v>
      </c>
    </row>
    <row r="16" spans="1:8" ht="16.5">
      <c r="A16" s="35"/>
      <c r="B16" s="35"/>
      <c r="C16" s="35"/>
      <c r="D16" s="35"/>
      <c r="G16" s="35"/>
      <c r="H16" s="35"/>
    </row>
    <row r="17" spans="1:9" ht="16.5">
      <c r="A17" s="13"/>
      <c r="B17" s="13"/>
      <c r="C17" s="13"/>
      <c r="D17" s="13"/>
      <c r="G17" s="13"/>
      <c r="H17" s="13"/>
    </row>
    <row r="18" spans="1:9" ht="20.25" customHeight="1">
      <c r="A18" s="63" t="str">
        <f>+'S&amp;D'!A22</f>
        <v>Alliant Energy</v>
      </c>
      <c r="B18" s="90" t="str">
        <f>+'S&amp;D'!B22</f>
        <v>LNT</v>
      </c>
      <c r="C18" s="90" t="str">
        <f>+'S&amp;D'!C22</f>
        <v>Electric Utility - Cent</v>
      </c>
      <c r="D18" s="133">
        <v>0.02</v>
      </c>
      <c r="E18" s="132">
        <v>0.115</v>
      </c>
      <c r="F18" s="132">
        <v>0.04</v>
      </c>
      <c r="G18" s="90" t="s">
        <v>24</v>
      </c>
      <c r="H18" s="60">
        <v>0.8</v>
      </c>
    </row>
    <row r="19" spans="1:9" ht="20.25" customHeight="1">
      <c r="A19" s="63" t="str">
        <f>+'S&amp;D'!A23</f>
        <v>AMEREN Corporation</v>
      </c>
      <c r="B19" s="90" t="str">
        <f>+'S&amp;D'!B23</f>
        <v>AEE</v>
      </c>
      <c r="C19" s="90" t="str">
        <f>+'S&amp;D'!C23</f>
        <v>Electric Utility - Cent</v>
      </c>
      <c r="D19" s="133">
        <v>0.12</v>
      </c>
      <c r="E19" s="132">
        <v>0.11</v>
      </c>
      <c r="F19" s="132">
        <v>0.05</v>
      </c>
      <c r="G19" s="90" t="s">
        <v>24</v>
      </c>
      <c r="H19" s="60">
        <v>0.8</v>
      </c>
    </row>
    <row r="20" spans="1:9" ht="20.25" customHeight="1">
      <c r="A20" s="63" t="str">
        <f>+'S&amp;D'!A24</f>
        <v>American Electric Power</v>
      </c>
      <c r="B20" s="90" t="str">
        <f>+'S&amp;D'!B24</f>
        <v>AEP</v>
      </c>
      <c r="C20" s="90" t="str">
        <f>+'S&amp;D'!C24</f>
        <v>Electric Utility - Cent</v>
      </c>
      <c r="D20" s="133">
        <v>0.21</v>
      </c>
      <c r="E20" s="132">
        <v>0.1</v>
      </c>
      <c r="F20" s="132">
        <v>0.04</v>
      </c>
      <c r="G20" s="90" t="s">
        <v>24</v>
      </c>
      <c r="H20" s="60">
        <v>0.7</v>
      </c>
    </row>
    <row r="21" spans="1:9" ht="20.25" customHeight="1">
      <c r="A21" s="63" t="str">
        <f>+'S&amp;D'!A25</f>
        <v>Centerpoint Energy</v>
      </c>
      <c r="B21" s="90" t="str">
        <f>+'S&amp;D'!B25</f>
        <v>CNP</v>
      </c>
      <c r="C21" s="90" t="str">
        <f>+'S&amp;D'!C25</f>
        <v>Electric Utility - Cent</v>
      </c>
      <c r="D21" s="133">
        <v>0.16</v>
      </c>
      <c r="E21" s="132">
        <v>0.105</v>
      </c>
      <c r="F21" s="132">
        <v>0.05</v>
      </c>
      <c r="G21" s="90" t="s">
        <v>26</v>
      </c>
      <c r="H21" s="60">
        <v>0.8</v>
      </c>
    </row>
    <row r="22" spans="1:9" ht="20.25" customHeight="1">
      <c r="A22" s="63" t="str">
        <f>+'S&amp;D'!A26</f>
        <v>CMS Energy</v>
      </c>
      <c r="B22" s="90" t="str">
        <f>+'S&amp;D'!B26</f>
        <v>CMS</v>
      </c>
      <c r="C22" s="90" t="str">
        <f>+'S&amp;D'!C26</f>
        <v>Electric Utility - Cent</v>
      </c>
      <c r="D22" s="133">
        <v>0.2</v>
      </c>
      <c r="E22" s="132">
        <v>0.12</v>
      </c>
      <c r="F22" s="132">
        <v>0.05</v>
      </c>
      <c r="G22" s="90" t="s">
        <v>26</v>
      </c>
      <c r="H22" s="60">
        <v>0.7</v>
      </c>
    </row>
    <row r="23" spans="1:9" ht="20.25" customHeight="1">
      <c r="A23" s="63" t="str">
        <f>+'S&amp;D'!A27</f>
        <v>DTE Energy</v>
      </c>
      <c r="B23" s="90" t="str">
        <f>+'S&amp;D'!B27</f>
        <v>DTE</v>
      </c>
      <c r="C23" s="90" t="str">
        <f>+'S&amp;D'!C27</f>
        <v>Electric Utility - Cent</v>
      </c>
      <c r="D23" s="133">
        <v>0.05</v>
      </c>
      <c r="E23" s="132">
        <v>0.125</v>
      </c>
      <c r="F23" s="132">
        <v>0.05</v>
      </c>
      <c r="G23" s="90" t="s">
        <v>26</v>
      </c>
      <c r="H23" s="60">
        <v>0.8</v>
      </c>
    </row>
    <row r="24" spans="1:9" ht="20.25" customHeight="1">
      <c r="A24" s="63" t="str">
        <f>+'S&amp;D'!A28</f>
        <v>Duke Energy</v>
      </c>
      <c r="B24" s="90" t="str">
        <f>+'S&amp;D'!B28</f>
        <v>DUK</v>
      </c>
      <c r="C24" s="90" t="str">
        <f>+'S&amp;D'!C28</f>
        <v>Electric Utility - East</v>
      </c>
      <c r="D24" s="133">
        <v>0.11</v>
      </c>
      <c r="E24" s="132">
        <v>0.1</v>
      </c>
      <c r="F24" s="132">
        <v>3.5000000000000003E-2</v>
      </c>
      <c r="G24" s="90" t="s">
        <v>24</v>
      </c>
      <c r="H24" s="60">
        <v>0.65</v>
      </c>
      <c r="I24" s="11" t="s">
        <v>0</v>
      </c>
    </row>
    <row r="25" spans="1:9" ht="20.25" customHeight="1">
      <c r="A25" s="63" t="str">
        <f>+'S&amp;D'!A29</f>
        <v>Entergy Corp</v>
      </c>
      <c r="B25" s="90" t="str">
        <f>+'S&amp;D'!B29</f>
        <v>ETR</v>
      </c>
      <c r="C25" s="90" t="str">
        <f>+'S&amp;D'!C29</f>
        <v>Electric Utility - Cent</v>
      </c>
      <c r="D25" s="133">
        <v>0.2</v>
      </c>
      <c r="E25" s="132">
        <v>9.5000000000000001E-2</v>
      </c>
      <c r="F25" s="132">
        <v>2.5000000000000001E-2</v>
      </c>
      <c r="G25" s="90" t="s">
        <v>24</v>
      </c>
      <c r="H25" s="60">
        <v>0.8</v>
      </c>
      <c r="I25" s="11"/>
    </row>
    <row r="26" spans="1:9" ht="20.25" customHeight="1">
      <c r="A26" s="63" t="str">
        <f>+'S&amp;D'!A30</f>
        <v>Evergy Inc</v>
      </c>
      <c r="B26" s="90" t="str">
        <f>+'S&amp;D'!B30</f>
        <v>EVRG</v>
      </c>
      <c r="C26" s="90" t="str">
        <f>+'S&amp;D'!C30</f>
        <v>Electric Utility - Cent</v>
      </c>
      <c r="D26" s="133">
        <v>0.06</v>
      </c>
      <c r="E26" s="132">
        <v>0.08</v>
      </c>
      <c r="F26" s="132">
        <v>0.03</v>
      </c>
      <c r="G26" s="90" t="s">
        <v>26</v>
      </c>
      <c r="H26" s="60">
        <v>0.8</v>
      </c>
      <c r="I26" s="11"/>
    </row>
    <row r="27" spans="1:9" ht="20.25" customHeight="1">
      <c r="A27" s="63" t="str">
        <f>+'S&amp;D'!A31</f>
        <v>FirstEnergy Corp</v>
      </c>
      <c r="B27" s="90" t="str">
        <f>+'S&amp;D'!B31</f>
        <v>FE</v>
      </c>
      <c r="C27" s="90" t="str">
        <f>+'S&amp;D'!C31</f>
        <v>Electric Utility - East</v>
      </c>
      <c r="D27" s="133">
        <v>0.21</v>
      </c>
      <c r="E27" s="132">
        <v>0.115</v>
      </c>
      <c r="F27" s="132">
        <v>3.5000000000000003E-2</v>
      </c>
      <c r="G27" s="90" t="s">
        <v>26</v>
      </c>
      <c r="H27" s="60">
        <v>0.75</v>
      </c>
      <c r="I27" s="11" t="s">
        <v>0</v>
      </c>
    </row>
    <row r="28" spans="1:9" ht="20.25" customHeight="1">
      <c r="A28" s="63" t="str">
        <f>+'S&amp;D'!A32</f>
        <v>OGE Energy Corp.</v>
      </c>
      <c r="B28" s="90" t="str">
        <f>+'S&amp;D'!B32</f>
        <v>OGE</v>
      </c>
      <c r="C28" s="90" t="str">
        <f>+'S&amp;D'!C32</f>
        <v>Electric Utility - Cent</v>
      </c>
      <c r="D28" s="133">
        <v>0.15</v>
      </c>
      <c r="E28" s="132">
        <v>0.1</v>
      </c>
      <c r="F28" s="132">
        <v>0.03</v>
      </c>
      <c r="G28" s="90" t="s">
        <v>26</v>
      </c>
      <c r="H28" s="60">
        <v>0.85</v>
      </c>
      <c r="I28" s="11"/>
    </row>
    <row r="29" spans="1:9" ht="20.25" customHeight="1">
      <c r="A29" s="63" t="str">
        <f>+'S&amp;D'!A33</f>
        <v>Otter Tail Corp</v>
      </c>
      <c r="B29" s="90" t="str">
        <f>+'S&amp;D'!B33</f>
        <v>OTTR</v>
      </c>
      <c r="C29" s="90" t="str">
        <f>+'S&amp;D'!C33</f>
        <v>Electric Utility - Cent</v>
      </c>
      <c r="D29" s="133">
        <v>0.17499999999999999</v>
      </c>
      <c r="E29" s="132">
        <v>0.115</v>
      </c>
      <c r="F29" s="132">
        <v>6.5000000000000002E-2</v>
      </c>
      <c r="G29" s="90" t="s">
        <v>26</v>
      </c>
      <c r="H29" s="60">
        <v>0.9</v>
      </c>
      <c r="I29" s="11"/>
    </row>
    <row r="30" spans="1:9" ht="20.25" customHeight="1">
      <c r="A30" s="63" t="str">
        <f>+'S&amp;D'!A34</f>
        <v>PPL Corporation</v>
      </c>
      <c r="B30" s="90" t="str">
        <f>+'S&amp;D'!B34</f>
        <v>PPL</v>
      </c>
      <c r="C30" s="90" t="str">
        <f>+'S&amp;D'!C34</f>
        <v>Electric Utility - East</v>
      </c>
      <c r="D30" s="133">
        <v>0.21</v>
      </c>
      <c r="E30" s="237">
        <v>8.5000000000000006E-2</v>
      </c>
      <c r="F30" s="237">
        <v>3.5000000000000003E-2</v>
      </c>
      <c r="G30" s="90" t="s">
        <v>62</v>
      </c>
      <c r="H30" s="60">
        <v>0.8</v>
      </c>
      <c r="I30" s="11" t="s">
        <v>0</v>
      </c>
    </row>
    <row r="31" spans="1:9" ht="20.25" customHeight="1">
      <c r="A31" s="63" t="str">
        <f>+'S&amp;D'!A35</f>
        <v>The Southern Company</v>
      </c>
      <c r="B31" s="90" t="str">
        <f>+'S&amp;D'!B35</f>
        <v>SO</v>
      </c>
      <c r="C31" s="90" t="str">
        <f>+'S&amp;D'!C35</f>
        <v>Electric Utility - East</v>
      </c>
      <c r="D31" s="133">
        <v>0.15</v>
      </c>
      <c r="E31" s="237">
        <v>0.13</v>
      </c>
      <c r="F31" s="237">
        <v>3.5000000000000003E-2</v>
      </c>
      <c r="G31" s="90" t="s">
        <v>24</v>
      </c>
      <c r="H31" s="60">
        <v>0.65</v>
      </c>
      <c r="I31" s="11" t="s">
        <v>0</v>
      </c>
    </row>
    <row r="32" spans="1:9" ht="20.25" customHeight="1" thickBot="1">
      <c r="A32" s="63" t="str">
        <f>+'S&amp;D'!A36</f>
        <v>WEC Energy Group</v>
      </c>
      <c r="B32" s="90" t="str">
        <f>+'S&amp;D'!B36</f>
        <v>WEC</v>
      </c>
      <c r="C32" s="90" t="str">
        <f>+'S&amp;D'!C36</f>
        <v>Electric Utility - Cent</v>
      </c>
      <c r="D32" s="271">
        <v>0.19</v>
      </c>
      <c r="E32" s="272">
        <v>0.125</v>
      </c>
      <c r="F32" s="272">
        <v>0.04</v>
      </c>
      <c r="G32" s="270" t="s">
        <v>24</v>
      </c>
      <c r="H32" s="65">
        <v>0.7</v>
      </c>
    </row>
    <row r="33" spans="1:8" ht="20.25" customHeight="1" thickTop="1">
      <c r="A33" s="110"/>
      <c r="B33" s="110"/>
      <c r="C33" s="4"/>
      <c r="D33" s="162" t="s">
        <v>0</v>
      </c>
      <c r="E33" s="4"/>
      <c r="F33" s="4"/>
      <c r="G33" s="117" t="s">
        <v>64</v>
      </c>
      <c r="H33" s="273">
        <f>MAX(H18:H32)</f>
        <v>0.9</v>
      </c>
    </row>
    <row r="34" spans="1:8" ht="20.25" customHeight="1">
      <c r="A34" s="110"/>
      <c r="B34" s="110"/>
      <c r="C34" s="4"/>
      <c r="D34" s="162" t="s">
        <v>0</v>
      </c>
      <c r="E34" s="4"/>
      <c r="F34" s="4"/>
      <c r="G34" s="117" t="s">
        <v>65</v>
      </c>
      <c r="H34" s="318">
        <f>MIN(H18:H32)</f>
        <v>0.65</v>
      </c>
    </row>
    <row r="35" spans="1:8" ht="22.5" customHeight="1">
      <c r="A35" s="438"/>
      <c r="B35" s="110"/>
      <c r="C35" s="4"/>
      <c r="D35" s="163" t="s">
        <v>0</v>
      </c>
      <c r="E35" s="4"/>
      <c r="F35" s="4"/>
      <c r="G35" s="117" t="s">
        <v>18</v>
      </c>
      <c r="H35" s="164">
        <f>MEDIAN(H18:H32)</f>
        <v>0.8</v>
      </c>
    </row>
    <row r="36" spans="1:8" ht="20.25" customHeight="1">
      <c r="A36" s="110"/>
      <c r="B36" s="110"/>
      <c r="C36" s="4"/>
      <c r="D36" s="120" t="s">
        <v>0</v>
      </c>
      <c r="E36" s="4"/>
      <c r="F36" s="4"/>
      <c r="G36" s="117" t="s">
        <v>400</v>
      </c>
      <c r="H36" s="165">
        <f>AVERAGE(H18:H32)</f>
        <v>0.76666666666666672</v>
      </c>
    </row>
    <row r="37" spans="1:8" ht="20.25" customHeight="1" thickBot="1">
      <c r="A37" s="13"/>
      <c r="B37" s="13"/>
      <c r="C37" s="13"/>
      <c r="D37" s="13"/>
      <c r="G37" s="13"/>
      <c r="H37" s="13"/>
    </row>
    <row r="38" spans="1:8" ht="20.25" customHeight="1" thickBot="1">
      <c r="A38" s="13"/>
      <c r="B38" s="13"/>
      <c r="C38" s="13"/>
      <c r="D38" s="13"/>
      <c r="G38" s="183" t="s">
        <v>107</v>
      </c>
      <c r="H38" s="278">
        <v>0.77</v>
      </c>
    </row>
    <row r="41" spans="1:8" ht="17.25">
      <c r="A41" s="110" t="s">
        <v>345</v>
      </c>
    </row>
    <row r="42" spans="1:8" ht="17.25">
      <c r="A42" s="110" t="s">
        <v>346</v>
      </c>
    </row>
  </sheetData>
  <pageMargins left="0.25" right="0.25" top="0.75" bottom="0.75" header="0.3" footer="0.3"/>
  <pageSetup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>
    <tabColor rgb="FF92D050"/>
  </sheetPr>
  <dimension ref="A1:K38"/>
  <sheetViews>
    <sheetView view="pageBreakPreview" zoomScale="60" zoomScaleNormal="80" workbookViewId="0">
      <selection activeCell="F6" sqref="F6"/>
    </sheetView>
  </sheetViews>
  <sheetFormatPr defaultRowHeight="15"/>
  <cols>
    <col min="1" max="1" width="50.42578125" customWidth="1"/>
    <col min="2" max="2" width="10.85546875" bestFit="1" customWidth="1"/>
    <col min="3" max="3" width="23.5703125" customWidth="1"/>
    <col min="4" max="4" width="15.425781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5703125" customWidth="1"/>
    <col min="12" max="12" width="23.5703125" customWidth="1"/>
  </cols>
  <sheetData>
    <row r="1" spans="1:11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6.5">
      <c r="A3" s="27" t="s">
        <v>475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16.5">
      <c r="A4" s="27"/>
      <c r="B4" s="13"/>
      <c r="C4" s="13"/>
      <c r="D4" s="13"/>
      <c r="E4" s="13"/>
      <c r="F4" s="13"/>
      <c r="G4" s="13"/>
      <c r="H4" s="13"/>
      <c r="I4" s="13"/>
      <c r="J4" s="13"/>
    </row>
    <row r="5" spans="1:11" ht="17.25" thickBot="1">
      <c r="A5" s="13"/>
      <c r="B5" s="13"/>
      <c r="C5" s="13"/>
      <c r="D5" s="13"/>
      <c r="E5" s="13"/>
      <c r="F5" s="13"/>
      <c r="G5" s="28"/>
      <c r="H5" s="13"/>
      <c r="I5" s="13"/>
      <c r="J5" s="13"/>
    </row>
    <row r="6" spans="1:11" ht="21" thickBot="1">
      <c r="A6" s="240" t="str">
        <f>+'S&amp;D'!A12</f>
        <v>Electric Utilities</v>
      </c>
      <c r="B6" s="177"/>
      <c r="C6" s="13"/>
      <c r="D6" s="30"/>
      <c r="E6" s="30"/>
      <c r="F6" s="462" t="s">
        <v>0</v>
      </c>
      <c r="G6" s="13"/>
      <c r="H6" s="13"/>
      <c r="I6" s="13"/>
      <c r="J6" s="13"/>
    </row>
    <row r="7" spans="1:11" ht="26.25">
      <c r="A7" s="31"/>
      <c r="B7" s="13"/>
      <c r="C7" s="13"/>
      <c r="D7" s="13"/>
      <c r="E7" s="32" t="s">
        <v>195</v>
      </c>
      <c r="F7" s="13"/>
      <c r="G7" s="13"/>
      <c r="H7" s="13"/>
      <c r="I7" s="13"/>
      <c r="J7" s="13"/>
    </row>
    <row r="8" spans="1:11" ht="21" thickBot="1">
      <c r="A8" s="31"/>
      <c r="B8" s="13"/>
      <c r="C8" s="13"/>
      <c r="D8" s="30"/>
      <c r="E8" s="33" t="s">
        <v>488</v>
      </c>
      <c r="F8" s="30"/>
      <c r="G8" s="13"/>
      <c r="H8" s="13"/>
      <c r="I8" s="13"/>
      <c r="J8" s="13"/>
    </row>
    <row r="9" spans="1:11" ht="17.25" thickBot="1">
      <c r="A9" s="34" t="s">
        <v>0</v>
      </c>
      <c r="B9" s="34" t="s">
        <v>0</v>
      </c>
      <c r="C9" s="34" t="s">
        <v>0</v>
      </c>
      <c r="D9" s="34" t="s">
        <v>0</v>
      </c>
      <c r="E9" s="34" t="s">
        <v>0</v>
      </c>
      <c r="F9" s="34"/>
      <c r="G9" s="30"/>
      <c r="H9" s="30"/>
      <c r="I9" s="30"/>
      <c r="J9" s="30"/>
      <c r="K9" s="144"/>
    </row>
    <row r="10" spans="1:11" ht="16.5">
      <c r="A10" s="35" t="s">
        <v>0</v>
      </c>
      <c r="B10" s="35" t="s">
        <v>3</v>
      </c>
      <c r="C10" s="35" t="s">
        <v>5</v>
      </c>
      <c r="D10" s="35" t="s">
        <v>190</v>
      </c>
      <c r="E10" s="35" t="s">
        <v>191</v>
      </c>
      <c r="F10" s="35" t="s">
        <v>193</v>
      </c>
      <c r="G10" s="35" t="s">
        <v>191</v>
      </c>
      <c r="H10" s="35" t="s">
        <v>193</v>
      </c>
      <c r="I10" s="35" t="s">
        <v>191</v>
      </c>
      <c r="J10" s="35" t="s">
        <v>193</v>
      </c>
      <c r="K10" s="35" t="s">
        <v>286</v>
      </c>
    </row>
    <row r="11" spans="1:11" ht="16.5">
      <c r="A11" s="35"/>
      <c r="B11" s="35" t="s">
        <v>4</v>
      </c>
      <c r="C11" s="35" t="s">
        <v>6</v>
      </c>
      <c r="D11" s="35" t="s">
        <v>28</v>
      </c>
      <c r="E11" s="35" t="s">
        <v>192</v>
      </c>
      <c r="F11" s="35" t="s">
        <v>150</v>
      </c>
      <c r="G11" s="35" t="s">
        <v>192</v>
      </c>
      <c r="H11" s="35" t="s">
        <v>150</v>
      </c>
      <c r="I11" s="35" t="s">
        <v>192</v>
      </c>
      <c r="J11" s="35" t="s">
        <v>150</v>
      </c>
      <c r="K11" s="35" t="s">
        <v>208</v>
      </c>
    </row>
    <row r="12" spans="1:11" ht="17.25" thickBot="1">
      <c r="A12" s="37" t="s">
        <v>2</v>
      </c>
      <c r="B12" s="37" t="s">
        <v>0</v>
      </c>
      <c r="C12" s="37" t="s">
        <v>0</v>
      </c>
      <c r="D12" s="37" t="s">
        <v>0</v>
      </c>
      <c r="E12" s="37" t="s">
        <v>194</v>
      </c>
      <c r="F12" s="37" t="s">
        <v>194</v>
      </c>
      <c r="G12" s="37" t="s">
        <v>284</v>
      </c>
      <c r="H12" s="37" t="s">
        <v>284</v>
      </c>
      <c r="I12" s="37" t="s">
        <v>285</v>
      </c>
      <c r="J12" s="37" t="s">
        <v>285</v>
      </c>
      <c r="K12" s="205" t="s">
        <v>287</v>
      </c>
    </row>
    <row r="13" spans="1:11">
      <c r="A13" s="39" t="s">
        <v>7</v>
      </c>
      <c r="B13" s="39" t="s">
        <v>7</v>
      </c>
      <c r="C13" s="39" t="s">
        <v>7</v>
      </c>
      <c r="D13" s="40" t="s">
        <v>146</v>
      </c>
      <c r="E13" s="39" t="s">
        <v>7</v>
      </c>
      <c r="F13" s="39" t="s">
        <v>0</v>
      </c>
      <c r="G13" s="39" t="s">
        <v>7</v>
      </c>
      <c r="H13" s="39" t="s">
        <v>0</v>
      </c>
      <c r="I13" s="39" t="s">
        <v>7</v>
      </c>
      <c r="J13" s="39" t="s">
        <v>0</v>
      </c>
      <c r="K13" s="39" t="s">
        <v>0</v>
      </c>
    </row>
    <row r="14" spans="1:11" ht="16.5">
      <c r="A14" s="35"/>
      <c r="B14" s="35"/>
      <c r="C14" s="35"/>
      <c r="D14" s="35"/>
      <c r="E14" s="35"/>
      <c r="F14" s="35"/>
      <c r="G14" s="13"/>
      <c r="H14" s="13"/>
      <c r="I14" s="13"/>
      <c r="J14" s="13"/>
      <c r="K14" s="13"/>
    </row>
    <row r="15" spans="1:11" ht="16.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17.25">
      <c r="A16" s="63" t="str">
        <f>+'S&amp;D'!A22</f>
        <v>Alliant Energy</v>
      </c>
      <c r="B16" s="90" t="str">
        <f>+'S&amp;D'!B22</f>
        <v>LNT</v>
      </c>
      <c r="C16" s="90" t="str">
        <f>+'S&amp;D'!C22</f>
        <v>Electric Utility - Cent</v>
      </c>
      <c r="D16" s="60">
        <f>+'S&amp;D'!G22</f>
        <v>65.010000000000005</v>
      </c>
      <c r="E16" s="62">
        <v>2.15</v>
      </c>
      <c r="F16" s="66">
        <f t="shared" ref="F16:F30" si="0">+E16/D16</f>
        <v>3.3071835102291954E-2</v>
      </c>
      <c r="G16" s="62">
        <v>2.2799999999999998</v>
      </c>
      <c r="H16" s="66">
        <f t="shared" ref="H16:H30" si="1">+G16/D16</f>
        <v>3.5071527457314254E-2</v>
      </c>
      <c r="I16" s="62">
        <v>2.72</v>
      </c>
      <c r="J16" s="66">
        <f t="shared" ref="J16:J30" si="2">+I16/D16</f>
        <v>4.1839716966620519E-2</v>
      </c>
      <c r="K16" s="204">
        <f>RATE(3,,-G16,I16)</f>
        <v>6.058305888479E-2</v>
      </c>
    </row>
    <row r="17" spans="1:11" ht="17.25">
      <c r="A17" s="63" t="str">
        <f>+'S&amp;D'!A23</f>
        <v>AMEREN Corporation</v>
      </c>
      <c r="B17" s="90" t="str">
        <f>+'S&amp;D'!B23</f>
        <v>AEE</v>
      </c>
      <c r="C17" s="90" t="str">
        <f>+'S&amp;D'!C23</f>
        <v>Electric Utility - Cent</v>
      </c>
      <c r="D17" s="60">
        <f>+'S&amp;D'!G23</f>
        <v>99.86</v>
      </c>
      <c r="E17" s="62">
        <v>3.03</v>
      </c>
      <c r="F17" s="66">
        <f t="shared" si="0"/>
        <v>3.0342479471259762E-2</v>
      </c>
      <c r="G17" s="62">
        <v>3.2</v>
      </c>
      <c r="H17" s="66">
        <f t="shared" si="1"/>
        <v>3.2044862807931104E-2</v>
      </c>
      <c r="I17" s="62">
        <v>3.57</v>
      </c>
      <c r="J17" s="66">
        <f t="shared" si="2"/>
        <v>3.5750050070098134E-2</v>
      </c>
      <c r="K17" s="277">
        <f t="shared" ref="K17:K30" si="3">RATE(3,,-G17,I17)</f>
        <v>3.7144843840887939E-2</v>
      </c>
    </row>
    <row r="18" spans="1:11" ht="17.25">
      <c r="A18" s="63" t="str">
        <f>+'S&amp;D'!A24</f>
        <v>American Electric Power</v>
      </c>
      <c r="B18" s="90" t="str">
        <f>+'S&amp;D'!B24</f>
        <v>AEP</v>
      </c>
      <c r="C18" s="90" t="str">
        <f>+'S&amp;D'!C24</f>
        <v>Electric Utility - Cent</v>
      </c>
      <c r="D18" s="60">
        <f>+'S&amp;D'!G24</f>
        <v>115.31</v>
      </c>
      <c r="E18" s="62">
        <v>3.98</v>
      </c>
      <c r="F18" s="66">
        <f t="shared" si="0"/>
        <v>3.4515653455901484E-2</v>
      </c>
      <c r="G18" s="62">
        <v>4.08</v>
      </c>
      <c r="H18" s="66">
        <f t="shared" si="1"/>
        <v>3.5382880929667855E-2</v>
      </c>
      <c r="I18" s="62">
        <v>4.3099999999999996</v>
      </c>
      <c r="J18" s="66">
        <f t="shared" si="2"/>
        <v>3.7377504119330496E-2</v>
      </c>
      <c r="K18" s="277">
        <f t="shared" si="3"/>
        <v>1.844841280311579E-2</v>
      </c>
    </row>
    <row r="19" spans="1:11" ht="17.25">
      <c r="A19" s="63" t="str">
        <f>+'S&amp;D'!A25</f>
        <v>Centerpoint Energy</v>
      </c>
      <c r="B19" s="90" t="str">
        <f>+'S&amp;D'!B25</f>
        <v>CNP</v>
      </c>
      <c r="C19" s="90" t="str">
        <f>+'S&amp;D'!C25</f>
        <v>Electric Utility - Cent</v>
      </c>
      <c r="D19" s="60">
        <f>+'S&amp;D'!G25</f>
        <v>38.340000000000003</v>
      </c>
      <c r="E19" s="62">
        <v>0.95</v>
      </c>
      <c r="F19" s="66">
        <f t="shared" si="0"/>
        <v>2.4778299426186746E-2</v>
      </c>
      <c r="G19" s="62">
        <v>1.1499999999999999</v>
      </c>
      <c r="H19" s="66">
        <f t="shared" si="1"/>
        <v>2.999478351591027E-2</v>
      </c>
      <c r="I19" s="62">
        <v>1.25</v>
      </c>
      <c r="J19" s="66">
        <f t="shared" si="2"/>
        <v>3.2603025560772034E-2</v>
      </c>
      <c r="K19" s="277">
        <f t="shared" si="3"/>
        <v>2.8183722701926761E-2</v>
      </c>
    </row>
    <row r="20" spans="1:11" ht="17.25">
      <c r="A20" s="63" t="str">
        <f>+'S&amp;D'!A26</f>
        <v>CMS Energy</v>
      </c>
      <c r="B20" s="90" t="str">
        <f>+'S&amp;D'!B26</f>
        <v>CMS</v>
      </c>
      <c r="C20" s="90" t="str">
        <f>+'S&amp;D'!C26</f>
        <v>Electric Utility - Cent</v>
      </c>
      <c r="D20" s="60">
        <f>+'S&amp;D'!G26</f>
        <v>69.930000000000007</v>
      </c>
      <c r="E20" s="62">
        <v>2.2999999999999998</v>
      </c>
      <c r="F20" s="66">
        <f t="shared" si="0"/>
        <v>3.2890032890032887E-2</v>
      </c>
      <c r="G20" s="62">
        <v>2.5</v>
      </c>
      <c r="H20" s="66">
        <f t="shared" si="1"/>
        <v>3.5750035750035748E-2</v>
      </c>
      <c r="I20" s="62">
        <v>3.1</v>
      </c>
      <c r="J20" s="66">
        <f t="shared" si="2"/>
        <v>4.4330044330044324E-2</v>
      </c>
      <c r="K20" s="277">
        <f t="shared" si="3"/>
        <v>7.4337070989087442E-2</v>
      </c>
    </row>
    <row r="21" spans="1:11" ht="17.25">
      <c r="A21" s="63" t="str">
        <f>+'S&amp;D'!A27</f>
        <v>DTE Energy</v>
      </c>
      <c r="B21" s="90" t="str">
        <f>+'S&amp;D'!B27</f>
        <v>DTE</v>
      </c>
      <c r="C21" s="90" t="str">
        <f>+'S&amp;D'!C27</f>
        <v>Electric Utility - Cent</v>
      </c>
      <c r="D21" s="60">
        <f>+'S&amp;D'!G27</f>
        <v>128.97999999999999</v>
      </c>
      <c r="E21" s="62">
        <v>4.71</v>
      </c>
      <c r="F21" s="66">
        <f t="shared" si="0"/>
        <v>3.6517289502248411E-2</v>
      </c>
      <c r="G21" s="62">
        <v>4.95</v>
      </c>
      <c r="H21" s="66">
        <f t="shared" si="1"/>
        <v>3.8378043107458522E-2</v>
      </c>
      <c r="I21" s="62">
        <v>5.7</v>
      </c>
      <c r="J21" s="66">
        <f t="shared" si="2"/>
        <v>4.4192898123740117E-2</v>
      </c>
      <c r="K21" s="277">
        <f t="shared" si="3"/>
        <v>4.8149469628073475E-2</v>
      </c>
    </row>
    <row r="22" spans="1:11" ht="17.25">
      <c r="A22" s="63" t="str">
        <f>+'S&amp;D'!A28</f>
        <v>Duke Energy</v>
      </c>
      <c r="B22" s="90" t="str">
        <f>+'S&amp;D'!B28</f>
        <v>DUK</v>
      </c>
      <c r="C22" s="90" t="str">
        <f>+'S&amp;D'!C28</f>
        <v>Electric Utility - East</v>
      </c>
      <c r="D22" s="60">
        <f>+'S&amp;D'!G28</f>
        <v>117.21</v>
      </c>
      <c r="E22" s="62">
        <v>4.3</v>
      </c>
      <c r="F22" s="66">
        <f t="shared" si="0"/>
        <v>3.6686289565736711E-2</v>
      </c>
      <c r="G22" s="62">
        <v>4.42</v>
      </c>
      <c r="H22" s="66">
        <f t="shared" si="1"/>
        <v>3.77100929954782E-2</v>
      </c>
      <c r="I22" s="62">
        <v>5.3</v>
      </c>
      <c r="J22" s="66">
        <f t="shared" si="2"/>
        <v>4.5217984813582461E-2</v>
      </c>
      <c r="K22" s="277">
        <f t="shared" si="3"/>
        <v>6.2391368125491085E-2</v>
      </c>
    </row>
    <row r="23" spans="1:11" ht="17.25">
      <c r="A23" s="63" t="str">
        <f>+'S&amp;D'!A29</f>
        <v>Entergy Corp</v>
      </c>
      <c r="B23" s="90" t="str">
        <f>+'S&amp;D'!B29</f>
        <v>ETR</v>
      </c>
      <c r="C23" s="90" t="str">
        <f>+'S&amp;D'!C29</f>
        <v>Electric Utility - Cent</v>
      </c>
      <c r="D23" s="60">
        <f>+'S&amp;D'!G29</f>
        <v>92.43</v>
      </c>
      <c r="E23" s="62">
        <v>2.6</v>
      </c>
      <c r="F23" s="66">
        <f t="shared" si="0"/>
        <v>2.8129395218002812E-2</v>
      </c>
      <c r="G23" s="62">
        <v>2.68</v>
      </c>
      <c r="H23" s="66">
        <f t="shared" si="1"/>
        <v>2.8994915070864439E-2</v>
      </c>
      <c r="I23" s="62">
        <v>3</v>
      </c>
      <c r="J23" s="66">
        <f t="shared" si="2"/>
        <v>3.2456994482310937E-2</v>
      </c>
      <c r="K23" s="277">
        <f t="shared" si="3"/>
        <v>3.8314263973875197E-2</v>
      </c>
    </row>
    <row r="24" spans="1:11" ht="17.25">
      <c r="A24" s="63" t="str">
        <f>+'S&amp;D'!A30</f>
        <v>Evergy Inc</v>
      </c>
      <c r="B24" s="90" t="str">
        <f>+'S&amp;D'!B30</f>
        <v>EVRG</v>
      </c>
      <c r="C24" s="90" t="str">
        <f>+'S&amp;D'!C30</f>
        <v>Electric Utility - Cent</v>
      </c>
      <c r="D24" s="60">
        <f>+'S&amp;D'!G30</f>
        <v>72.489999999999995</v>
      </c>
      <c r="E24" s="62">
        <v>2.78</v>
      </c>
      <c r="F24" s="66">
        <f t="shared" si="0"/>
        <v>3.8350117257552767E-2</v>
      </c>
      <c r="G24" s="62">
        <v>2.8</v>
      </c>
      <c r="H24" s="66">
        <f t="shared" si="1"/>
        <v>3.8626017381707824E-2</v>
      </c>
      <c r="I24" s="62">
        <v>3.1</v>
      </c>
      <c r="J24" s="66">
        <f t="shared" si="2"/>
        <v>4.2764519244033662E-2</v>
      </c>
      <c r="K24" s="277">
        <f t="shared" si="3"/>
        <v>3.4509669068251397E-2</v>
      </c>
    </row>
    <row r="25" spans="1:11" ht="17.25">
      <c r="A25" s="63" t="str">
        <f>+'S&amp;D'!A31</f>
        <v>FirstEnergy Corp</v>
      </c>
      <c r="B25" s="90" t="str">
        <f>+'S&amp;D'!B31</f>
        <v>FE</v>
      </c>
      <c r="C25" s="90" t="str">
        <f>+'S&amp;D'!C31</f>
        <v>Electric Utility - East</v>
      </c>
      <c r="D25" s="60">
        <f>+'S&amp;D'!G31</f>
        <v>44.77</v>
      </c>
      <c r="E25" s="62">
        <v>1.86</v>
      </c>
      <c r="F25" s="66">
        <f t="shared" si="0"/>
        <v>4.1545677909314273E-2</v>
      </c>
      <c r="G25" s="62">
        <v>1.94</v>
      </c>
      <c r="H25" s="66">
        <f t="shared" si="1"/>
        <v>4.3332588787134238E-2</v>
      </c>
      <c r="I25" s="62">
        <v>2.2400000000000002</v>
      </c>
      <c r="J25" s="66">
        <f t="shared" si="2"/>
        <v>5.0033504578959123E-2</v>
      </c>
      <c r="K25" s="277">
        <f t="shared" si="3"/>
        <v>4.9096479060481923E-2</v>
      </c>
    </row>
    <row r="26" spans="1:11" ht="17.25">
      <c r="A26" s="63" t="str">
        <f>+'S&amp;D'!A32</f>
        <v>OGE Energy Corp.</v>
      </c>
      <c r="B26" s="90" t="str">
        <f>+'S&amp;D'!B32</f>
        <v>OGE</v>
      </c>
      <c r="C26" s="90" t="str">
        <f>+'S&amp;D'!C32</f>
        <v>Electric Utility - Cent</v>
      </c>
      <c r="D26" s="60">
        <f>+'S&amp;D'!G32</f>
        <v>42.7</v>
      </c>
      <c r="E26" s="62">
        <v>1.7</v>
      </c>
      <c r="F26" s="66">
        <f t="shared" si="0"/>
        <v>3.9812646370023415E-2</v>
      </c>
      <c r="G26" s="62">
        <v>1.7</v>
      </c>
      <c r="H26" s="66">
        <f t="shared" si="1"/>
        <v>3.9812646370023415E-2</v>
      </c>
      <c r="I26" s="62">
        <v>1.85</v>
      </c>
      <c r="J26" s="66">
        <f t="shared" si="2"/>
        <v>4.3325526932084309E-2</v>
      </c>
      <c r="K26" s="277">
        <f t="shared" si="3"/>
        <v>2.8586773986917936E-2</v>
      </c>
    </row>
    <row r="27" spans="1:11" ht="17.25">
      <c r="A27" s="63" t="str">
        <f>+'S&amp;D'!A33</f>
        <v>Otter Tail Corp</v>
      </c>
      <c r="B27" s="90" t="str">
        <f>+'S&amp;D'!B33</f>
        <v>OTTR</v>
      </c>
      <c r="C27" s="90" t="str">
        <f>+'S&amp;D'!C33</f>
        <v>Electric Utility - Cent</v>
      </c>
      <c r="D27" s="60">
        <f>+'S&amp;D'!G33</f>
        <v>80.81</v>
      </c>
      <c r="E27" s="62">
        <v>2.31</v>
      </c>
      <c r="F27" s="66">
        <f t="shared" si="0"/>
        <v>2.858557109268655E-2</v>
      </c>
      <c r="G27" s="62">
        <v>2.5</v>
      </c>
      <c r="H27" s="66">
        <f t="shared" si="1"/>
        <v>3.0936765251825267E-2</v>
      </c>
      <c r="I27" s="62">
        <v>3.15</v>
      </c>
      <c r="J27" s="66">
        <f t="shared" si="2"/>
        <v>3.8980324217299835E-2</v>
      </c>
      <c r="K27" s="277">
        <f t="shared" si="3"/>
        <v>8.0082298255307285E-2</v>
      </c>
    </row>
    <row r="28" spans="1:11" ht="17.25">
      <c r="A28" s="63" t="str">
        <f>+'S&amp;D'!A34</f>
        <v>PPL Corporation</v>
      </c>
      <c r="B28" s="90" t="str">
        <f>+'S&amp;D'!B34</f>
        <v>PPL</v>
      </c>
      <c r="C28" s="90" t="str">
        <f>+'S&amp;D'!C34</f>
        <v>Electric Utility - East</v>
      </c>
      <c r="D28" s="60">
        <f>+'S&amp;D'!G34</f>
        <v>35.020000000000003</v>
      </c>
      <c r="E28" s="62">
        <v>1.1599999999999999</v>
      </c>
      <c r="F28" s="66">
        <f t="shared" si="0"/>
        <v>3.3123929183323811E-2</v>
      </c>
      <c r="G28" s="62">
        <v>1.23</v>
      </c>
      <c r="H28" s="66">
        <f t="shared" si="1"/>
        <v>3.5122786978869211E-2</v>
      </c>
      <c r="I28" s="62">
        <v>1.44</v>
      </c>
      <c r="J28" s="66">
        <f t="shared" si="2"/>
        <v>4.1119360365505418E-2</v>
      </c>
      <c r="K28" s="277">
        <f t="shared" si="3"/>
        <v>5.3947861260882017E-2</v>
      </c>
    </row>
    <row r="29" spans="1:11" ht="17.25">
      <c r="A29" s="63" t="str">
        <f>+'S&amp;D'!A35</f>
        <v>The Southern Company</v>
      </c>
      <c r="B29" s="90" t="str">
        <f>+'S&amp;D'!B35</f>
        <v>SO</v>
      </c>
      <c r="C29" s="90" t="str">
        <f>+'S&amp;D'!C35</f>
        <v>Electric Utility - East</v>
      </c>
      <c r="D29" s="60">
        <f>+'S&amp;D'!G35</f>
        <v>87.2</v>
      </c>
      <c r="E29" s="62">
        <v>3.04</v>
      </c>
      <c r="F29" s="66">
        <f t="shared" si="0"/>
        <v>3.4862385321100919E-2</v>
      </c>
      <c r="G29" s="62">
        <v>3.14</v>
      </c>
      <c r="H29" s="66">
        <f t="shared" si="1"/>
        <v>3.6009174311926608E-2</v>
      </c>
      <c r="I29" s="62">
        <v>3.44</v>
      </c>
      <c r="J29" s="66">
        <f t="shared" si="2"/>
        <v>3.9449541284403665E-2</v>
      </c>
      <c r="K29" s="204">
        <f t="shared" si="3"/>
        <v>3.0883522949269236E-2</v>
      </c>
    </row>
    <row r="30" spans="1:11" ht="17.25">
      <c r="A30" s="63" t="str">
        <f>+'S&amp;D'!A36</f>
        <v>WEC Energy Group</v>
      </c>
      <c r="B30" s="90" t="str">
        <f>+'S&amp;D'!B36</f>
        <v>WEC</v>
      </c>
      <c r="C30" s="90" t="str">
        <f>+'S&amp;D'!C36</f>
        <v>Electric Utility - Cent</v>
      </c>
      <c r="D30" s="60">
        <f>+'S&amp;D'!G36</f>
        <v>105.46</v>
      </c>
      <c r="E30" s="62">
        <v>3.81</v>
      </c>
      <c r="F30" s="66">
        <f t="shared" si="0"/>
        <v>3.6127441684050826E-2</v>
      </c>
      <c r="G30" s="62">
        <v>4</v>
      </c>
      <c r="H30" s="66">
        <f t="shared" si="1"/>
        <v>3.7929072634174096E-2</v>
      </c>
      <c r="I30" s="62">
        <v>4.59</v>
      </c>
      <c r="J30" s="66">
        <f t="shared" si="2"/>
        <v>4.3523610847714778E-2</v>
      </c>
      <c r="K30" s="204">
        <f t="shared" si="3"/>
        <v>4.6929807036333072E-2</v>
      </c>
    </row>
    <row r="31" spans="1:11" ht="17.25" thickBot="1">
      <c r="A31" s="13"/>
      <c r="B31" s="13"/>
      <c r="C31" s="44"/>
      <c r="D31" s="47"/>
      <c r="E31" s="47"/>
      <c r="F31" s="47"/>
      <c r="G31" s="47"/>
      <c r="H31" s="47"/>
      <c r="I31" s="47"/>
      <c r="J31" s="47"/>
      <c r="K31" s="47"/>
    </row>
    <row r="32" spans="1:11" ht="17.25" thickTop="1">
      <c r="A32" s="13"/>
      <c r="B32" s="13"/>
      <c r="D32" s="15" t="s">
        <v>64</v>
      </c>
      <c r="E32" s="17">
        <f t="shared" ref="E32:K32" si="4">MAX(E16:E30)</f>
        <v>4.71</v>
      </c>
      <c r="F32" s="275">
        <f t="shared" si="4"/>
        <v>4.1545677909314273E-2</v>
      </c>
      <c r="G32" s="17">
        <f t="shared" si="4"/>
        <v>4.95</v>
      </c>
      <c r="H32" s="275">
        <f t="shared" si="4"/>
        <v>4.3332588787134238E-2</v>
      </c>
      <c r="I32" s="17">
        <f t="shared" si="4"/>
        <v>5.7</v>
      </c>
      <c r="J32" s="275">
        <f t="shared" si="4"/>
        <v>5.0033504578959123E-2</v>
      </c>
      <c r="K32" s="275">
        <f t="shared" si="4"/>
        <v>8.0082298255307285E-2</v>
      </c>
    </row>
    <row r="33" spans="1:11" ht="16.5">
      <c r="A33" s="13"/>
      <c r="B33" s="13"/>
      <c r="D33" s="15" t="s">
        <v>65</v>
      </c>
      <c r="E33" s="279">
        <f t="shared" ref="E33:K33" si="5">MIN(E16:E30)</f>
        <v>0.95</v>
      </c>
      <c r="F33" s="276">
        <f t="shared" si="5"/>
        <v>2.4778299426186746E-2</v>
      </c>
      <c r="G33" s="279">
        <f t="shared" si="5"/>
        <v>1.1499999999999999</v>
      </c>
      <c r="H33" s="276">
        <f t="shared" si="5"/>
        <v>2.8994915070864439E-2</v>
      </c>
      <c r="I33" s="279">
        <f t="shared" si="5"/>
        <v>1.25</v>
      </c>
      <c r="J33" s="276">
        <f t="shared" si="5"/>
        <v>3.2456994482310937E-2</v>
      </c>
      <c r="K33" s="276">
        <f t="shared" si="5"/>
        <v>1.844841280311579E-2</v>
      </c>
    </row>
    <row r="34" spans="1:11" ht="16.5">
      <c r="A34" s="13"/>
      <c r="B34" s="13"/>
      <c r="D34" s="15" t="s">
        <v>18</v>
      </c>
      <c r="E34" s="18">
        <f t="shared" ref="E34:K34" si="6">MEDIAN(E16:E30)</f>
        <v>2.6</v>
      </c>
      <c r="F34" s="55">
        <f t="shared" si="6"/>
        <v>3.4515653455901484E-2</v>
      </c>
      <c r="G34" s="18">
        <f t="shared" si="6"/>
        <v>2.68</v>
      </c>
      <c r="H34" s="55">
        <f t="shared" si="6"/>
        <v>3.5750035750035748E-2</v>
      </c>
      <c r="I34" s="18">
        <f t="shared" si="6"/>
        <v>3.1</v>
      </c>
      <c r="J34" s="55">
        <f t="shared" si="6"/>
        <v>4.1839716966620519E-2</v>
      </c>
      <c r="K34" s="55">
        <f t="shared" si="6"/>
        <v>4.6929807036333072E-2</v>
      </c>
    </row>
    <row r="35" spans="1:11" ht="16.5">
      <c r="A35" s="13"/>
      <c r="B35" s="13"/>
      <c r="D35" s="15" t="s">
        <v>400</v>
      </c>
      <c r="E35" s="22">
        <f t="shared" ref="E35:K35" si="7">AVERAGE(E16:E30)</f>
        <v>2.7120000000000002</v>
      </c>
      <c r="F35" s="57">
        <f t="shared" si="7"/>
        <v>3.3955936229980895E-2</v>
      </c>
      <c r="G35" s="22">
        <f t="shared" si="7"/>
        <v>2.8380000000000001</v>
      </c>
      <c r="H35" s="57">
        <f t="shared" si="7"/>
        <v>3.5673079556688074E-2</v>
      </c>
      <c r="I35" s="22">
        <f t="shared" si="7"/>
        <v>3.2506666666666661</v>
      </c>
      <c r="J35" s="57">
        <f t="shared" si="7"/>
        <v>4.0864307062433332E-2</v>
      </c>
      <c r="K35" s="57">
        <f t="shared" si="7"/>
        <v>4.6105908170979377E-2</v>
      </c>
    </row>
    <row r="36" spans="1:11" ht="16.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26.25">
      <c r="A37" s="13"/>
      <c r="B37" s="13"/>
      <c r="C37" s="13"/>
      <c r="D37" s="13"/>
      <c r="E37" s="13"/>
      <c r="F37" s="49" t="s">
        <v>0</v>
      </c>
      <c r="G37" s="64" t="s">
        <v>0</v>
      </c>
      <c r="H37" s="13"/>
      <c r="I37" s="13"/>
      <c r="J37" s="13"/>
      <c r="K37" s="13"/>
    </row>
    <row r="38" spans="1:11" ht="18.75">
      <c r="A38" s="206" t="s">
        <v>288</v>
      </c>
    </row>
  </sheetData>
  <pageMargins left="0.25" right="0.25" top="0.75" bottom="0.75" header="0.3" footer="0.3"/>
  <pageSetup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>
    <tabColor rgb="FF92D050"/>
  </sheetPr>
  <dimension ref="A1:K38"/>
  <sheetViews>
    <sheetView view="pageBreakPreview" zoomScale="60" zoomScaleNormal="80" workbookViewId="0">
      <selection activeCell="F6" sqref="F6"/>
    </sheetView>
  </sheetViews>
  <sheetFormatPr defaultRowHeight="15"/>
  <cols>
    <col min="1" max="1" width="51.5703125" customWidth="1"/>
    <col min="2" max="2" width="10.85546875" bestFit="1" customWidth="1"/>
    <col min="3" max="3" width="23.5703125" customWidth="1"/>
    <col min="4" max="4" width="15.425781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5703125" customWidth="1"/>
    <col min="12" max="12" width="23.5703125" customWidth="1"/>
  </cols>
  <sheetData>
    <row r="1" spans="1:11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6.5">
      <c r="A3" s="27" t="s">
        <v>475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16.5">
      <c r="A4" s="27"/>
      <c r="B4" s="13"/>
      <c r="C4" s="13"/>
      <c r="D4" s="13"/>
      <c r="E4" s="13"/>
      <c r="F4" s="13"/>
      <c r="G4" s="13"/>
      <c r="H4" s="13"/>
      <c r="I4" s="13"/>
      <c r="J4" s="13"/>
    </row>
    <row r="5" spans="1:11" ht="17.25" thickBot="1">
      <c r="A5" s="13"/>
      <c r="B5" s="13"/>
      <c r="C5" s="13"/>
      <c r="D5" s="13"/>
      <c r="E5" s="13"/>
      <c r="F5" s="13"/>
      <c r="G5" s="28"/>
      <c r="H5" s="13"/>
      <c r="I5" s="13"/>
      <c r="J5" s="13"/>
    </row>
    <row r="6" spans="1:11" ht="21" thickBot="1">
      <c r="A6" s="240" t="str">
        <f>+'S&amp;D'!A12</f>
        <v>Electric Utilities</v>
      </c>
      <c r="B6" s="177"/>
      <c r="C6" s="13"/>
      <c r="D6" s="30"/>
      <c r="E6" s="30"/>
      <c r="F6" s="462" t="s">
        <v>0</v>
      </c>
      <c r="G6" s="13"/>
      <c r="H6" s="13"/>
      <c r="I6" s="13"/>
      <c r="J6" s="13"/>
    </row>
    <row r="7" spans="1:11" ht="26.25">
      <c r="A7" s="31"/>
      <c r="B7" s="13"/>
      <c r="C7" s="13"/>
      <c r="D7" s="13"/>
      <c r="E7" s="32" t="s">
        <v>289</v>
      </c>
      <c r="F7" s="13"/>
      <c r="G7" s="13"/>
      <c r="H7" s="13"/>
      <c r="I7" s="13"/>
      <c r="J7" s="13"/>
    </row>
    <row r="8" spans="1:11" ht="21" thickBot="1">
      <c r="A8" s="31"/>
      <c r="B8" s="13"/>
      <c r="C8" s="13"/>
      <c r="D8" s="30"/>
      <c r="E8" s="33" t="s">
        <v>488</v>
      </c>
      <c r="F8" s="30"/>
      <c r="G8" s="13"/>
      <c r="H8" s="13"/>
      <c r="I8" s="13"/>
      <c r="J8" s="13"/>
    </row>
    <row r="9" spans="1:11" ht="17.25" thickBot="1">
      <c r="A9" s="34" t="s">
        <v>0</v>
      </c>
      <c r="B9" s="34" t="s">
        <v>0</v>
      </c>
      <c r="C9" s="34" t="s">
        <v>0</v>
      </c>
      <c r="D9" s="34" t="s">
        <v>0</v>
      </c>
      <c r="E9" s="34" t="s">
        <v>0</v>
      </c>
      <c r="F9" s="34"/>
      <c r="G9" s="30"/>
      <c r="H9" s="30"/>
      <c r="I9" s="30"/>
      <c r="J9" s="30"/>
      <c r="K9" s="144"/>
    </row>
    <row r="10" spans="1:11" ht="16.5">
      <c r="A10" s="35" t="s">
        <v>0</v>
      </c>
      <c r="B10" s="35" t="s">
        <v>3</v>
      </c>
      <c r="C10" s="35" t="s">
        <v>5</v>
      </c>
      <c r="D10" s="35" t="s">
        <v>190</v>
      </c>
      <c r="E10" s="35" t="s">
        <v>197</v>
      </c>
      <c r="F10" s="35" t="s">
        <v>197</v>
      </c>
      <c r="G10" s="35" t="s">
        <v>197</v>
      </c>
      <c r="H10" s="35" t="s">
        <v>197</v>
      </c>
      <c r="I10" s="35" t="s">
        <v>197</v>
      </c>
      <c r="J10" s="35" t="s">
        <v>197</v>
      </c>
      <c r="K10" s="35" t="s">
        <v>286</v>
      </c>
    </row>
    <row r="11" spans="1:11" ht="16.5">
      <c r="A11" s="35"/>
      <c r="B11" s="35" t="s">
        <v>4</v>
      </c>
      <c r="C11" s="35" t="s">
        <v>6</v>
      </c>
      <c r="D11" s="35" t="s">
        <v>28</v>
      </c>
      <c r="E11" s="35" t="s">
        <v>192</v>
      </c>
      <c r="F11" s="35" t="s">
        <v>150</v>
      </c>
      <c r="G11" s="35" t="s">
        <v>192</v>
      </c>
      <c r="H11" s="35" t="s">
        <v>150</v>
      </c>
      <c r="I11" s="35" t="s">
        <v>192</v>
      </c>
      <c r="J11" s="35" t="s">
        <v>150</v>
      </c>
      <c r="K11" s="35" t="s">
        <v>208</v>
      </c>
    </row>
    <row r="12" spans="1:11" ht="17.25" thickBot="1">
      <c r="A12" s="37" t="s">
        <v>2</v>
      </c>
      <c r="B12" s="37" t="s">
        <v>0</v>
      </c>
      <c r="C12" s="37" t="s">
        <v>0</v>
      </c>
      <c r="D12" s="37" t="s">
        <v>0</v>
      </c>
      <c r="E12" s="37" t="s">
        <v>194</v>
      </c>
      <c r="F12" s="37" t="s">
        <v>194</v>
      </c>
      <c r="G12" s="37" t="s">
        <v>284</v>
      </c>
      <c r="H12" s="37" t="s">
        <v>284</v>
      </c>
      <c r="I12" s="37" t="s">
        <v>285</v>
      </c>
      <c r="J12" s="37" t="s">
        <v>285</v>
      </c>
      <c r="K12" s="205" t="s">
        <v>287</v>
      </c>
    </row>
    <row r="13" spans="1:11">
      <c r="A13" s="39" t="s">
        <v>7</v>
      </c>
      <c r="B13" s="39" t="s">
        <v>7</v>
      </c>
      <c r="C13" s="39" t="s">
        <v>7</v>
      </c>
      <c r="D13" s="40" t="s">
        <v>146</v>
      </c>
      <c r="E13" s="39" t="s">
        <v>7</v>
      </c>
      <c r="F13" s="39" t="s">
        <v>0</v>
      </c>
      <c r="G13" s="39" t="s">
        <v>7</v>
      </c>
      <c r="H13" s="39" t="s">
        <v>0</v>
      </c>
      <c r="I13" s="39" t="s">
        <v>7</v>
      </c>
      <c r="J13" s="39" t="s">
        <v>0</v>
      </c>
      <c r="K13" s="39" t="s">
        <v>0</v>
      </c>
    </row>
    <row r="14" spans="1:11" ht="16.5">
      <c r="A14" s="35"/>
      <c r="B14" s="35"/>
      <c r="C14" s="35"/>
      <c r="D14" s="35"/>
      <c r="E14" s="35"/>
      <c r="F14" s="35"/>
      <c r="G14" s="13"/>
      <c r="H14" s="13"/>
      <c r="I14" s="13"/>
      <c r="J14" s="13"/>
      <c r="K14" s="13"/>
    </row>
    <row r="15" spans="1:11" ht="16.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17.25">
      <c r="A16" s="63" t="str">
        <f>+'S&amp;D'!A22</f>
        <v>Alliant Energy</v>
      </c>
      <c r="B16" s="90" t="str">
        <f>+'S&amp;D'!B22</f>
        <v>LNT</v>
      </c>
      <c r="C16" s="90" t="str">
        <f>+'S&amp;D'!C22</f>
        <v>Electric Utility - Cent</v>
      </c>
      <c r="D16" s="60">
        <f>+'S&amp;D'!G22</f>
        <v>65.010000000000005</v>
      </c>
      <c r="E16" s="62">
        <v>3.45</v>
      </c>
      <c r="F16" s="66">
        <f>+E16/D16</f>
        <v>5.3068758652514994E-2</v>
      </c>
      <c r="G16" s="62">
        <v>3.7</v>
      </c>
      <c r="H16" s="66">
        <f t="shared" ref="H16:H30" si="0">+G16/D16</f>
        <v>5.6914320873711732E-2</v>
      </c>
      <c r="I16" s="62">
        <v>4.55</v>
      </c>
      <c r="J16" s="66">
        <f t="shared" ref="J16:J30" si="1">+I16/D16</f>
        <v>6.9989232425780645E-2</v>
      </c>
      <c r="K16" s="277">
        <f t="shared" ref="K16:K30" si="2">RATE(3,,-G16,I16)</f>
        <v>7.1362787324115468E-2</v>
      </c>
    </row>
    <row r="17" spans="1:11" ht="17.25">
      <c r="A17" s="63" t="str">
        <f>+'S&amp;D'!A23</f>
        <v>AMEREN Corporation</v>
      </c>
      <c r="B17" s="90" t="str">
        <f>+'S&amp;D'!B23</f>
        <v>AEE</v>
      </c>
      <c r="C17" s="90" t="str">
        <f>+'S&amp;D'!C23</f>
        <v>Electric Utility - Cent</v>
      </c>
      <c r="D17" s="60">
        <f>+'S&amp;D'!G23</f>
        <v>99.86</v>
      </c>
      <c r="E17" s="62">
        <v>5.35</v>
      </c>
      <c r="F17" s="66">
        <f t="shared" ref="F17:F30" si="3">+E17/D17</f>
        <v>5.3575005007009811E-2</v>
      </c>
      <c r="G17" s="62">
        <v>5.8</v>
      </c>
      <c r="H17" s="66">
        <f t="shared" si="0"/>
        <v>5.808131383937512E-2</v>
      </c>
      <c r="I17" s="62">
        <v>7.15</v>
      </c>
      <c r="J17" s="66">
        <f t="shared" si="1"/>
        <v>7.1600240336471069E-2</v>
      </c>
      <c r="K17" s="277">
        <f t="shared" si="2"/>
        <v>7.2241674336183642E-2</v>
      </c>
    </row>
    <row r="18" spans="1:11" ht="17.25">
      <c r="A18" s="63" t="str">
        <f>+'S&amp;D'!A24</f>
        <v>American Electric Power</v>
      </c>
      <c r="B18" s="90" t="str">
        <f>+'S&amp;D'!B24</f>
        <v>AEP</v>
      </c>
      <c r="C18" s="90" t="str">
        <f>+'S&amp;D'!C24</f>
        <v>Electric Utility - Cent</v>
      </c>
      <c r="D18" s="60">
        <f>+'S&amp;D'!G24</f>
        <v>115.31</v>
      </c>
      <c r="E18" s="62">
        <v>6.3</v>
      </c>
      <c r="F18" s="66">
        <f t="shared" si="3"/>
        <v>5.4635330847281241E-2</v>
      </c>
      <c r="G18" s="62">
        <v>6.8</v>
      </c>
      <c r="H18" s="66">
        <f t="shared" si="0"/>
        <v>5.8971468216113085E-2</v>
      </c>
      <c r="I18" s="62">
        <v>7.5</v>
      </c>
      <c r="J18" s="66">
        <f t="shared" si="1"/>
        <v>6.5042060532477672E-2</v>
      </c>
      <c r="K18" s="277">
        <f t="shared" si="2"/>
        <v>3.3199332429568636E-2</v>
      </c>
    </row>
    <row r="19" spans="1:11" ht="17.25">
      <c r="A19" s="63" t="str">
        <f>+'S&amp;D'!A25</f>
        <v>Centerpoint Energy</v>
      </c>
      <c r="B19" s="90" t="str">
        <f>+'S&amp;D'!B25</f>
        <v>CNP</v>
      </c>
      <c r="C19" s="90" t="str">
        <f>+'S&amp;D'!C25</f>
        <v>Electric Utility - Cent</v>
      </c>
      <c r="D19" s="60">
        <f>+'S&amp;D'!G25</f>
        <v>38.340000000000003</v>
      </c>
      <c r="E19" s="62">
        <v>1.9</v>
      </c>
      <c r="F19" s="66">
        <f t="shared" si="3"/>
        <v>4.9556598852373492E-2</v>
      </c>
      <c r="G19" s="62">
        <v>2.1</v>
      </c>
      <c r="H19" s="66">
        <f t="shared" si="0"/>
        <v>5.4773082942097026E-2</v>
      </c>
      <c r="I19" s="62">
        <v>2.4</v>
      </c>
      <c r="J19" s="66">
        <f t="shared" si="1"/>
        <v>6.2597809076682304E-2</v>
      </c>
      <c r="K19" s="277">
        <f t="shared" si="2"/>
        <v>4.55159171494205E-2</v>
      </c>
    </row>
    <row r="20" spans="1:11" ht="17.25">
      <c r="A20" s="63" t="str">
        <f>+'S&amp;D'!A26</f>
        <v>CMS Energy</v>
      </c>
      <c r="B20" s="90" t="str">
        <f>+'S&amp;D'!B26</f>
        <v>CMS</v>
      </c>
      <c r="C20" s="90" t="str">
        <f>+'S&amp;D'!C26</f>
        <v>Electric Utility - Cent</v>
      </c>
      <c r="D20" s="60">
        <f>+'S&amp;D'!G26</f>
        <v>69.930000000000007</v>
      </c>
      <c r="E20" s="62">
        <v>3.8</v>
      </c>
      <c r="F20" s="66">
        <f t="shared" si="3"/>
        <v>5.4340054340054331E-2</v>
      </c>
      <c r="G20" s="62">
        <v>4.0999999999999996</v>
      </c>
      <c r="H20" s="66">
        <f t="shared" si="0"/>
        <v>5.8630058630058622E-2</v>
      </c>
      <c r="I20" s="62">
        <v>5.15</v>
      </c>
      <c r="J20" s="66">
        <f t="shared" si="1"/>
        <v>7.3645073645073639E-2</v>
      </c>
      <c r="K20" s="277">
        <f t="shared" si="2"/>
        <v>7.8966077542025351E-2</v>
      </c>
    </row>
    <row r="21" spans="1:11" ht="17.25">
      <c r="A21" s="63" t="str">
        <f>+'S&amp;D'!A27</f>
        <v>DTE Energy</v>
      </c>
      <c r="B21" s="90" t="str">
        <f>+'S&amp;D'!B27</f>
        <v>DTE</v>
      </c>
      <c r="C21" s="90" t="str">
        <f>+'S&amp;D'!C27</f>
        <v>Electric Utility - Cent</v>
      </c>
      <c r="D21" s="60">
        <f>+'S&amp;D'!G27</f>
        <v>128.97999999999999</v>
      </c>
      <c r="E21" s="62">
        <v>7.7</v>
      </c>
      <c r="F21" s="66">
        <f t="shared" si="3"/>
        <v>5.9699178167157703E-2</v>
      </c>
      <c r="G21" s="62">
        <v>8.3000000000000007</v>
      </c>
      <c r="H21" s="66">
        <f t="shared" si="0"/>
        <v>6.435106218018298E-2</v>
      </c>
      <c r="I21" s="62">
        <v>9.5</v>
      </c>
      <c r="J21" s="66">
        <f t="shared" si="1"/>
        <v>7.3654830206233535E-2</v>
      </c>
      <c r="K21" s="277">
        <f t="shared" si="2"/>
        <v>4.6040511275152698E-2</v>
      </c>
    </row>
    <row r="22" spans="1:11" ht="17.25">
      <c r="A22" s="63" t="str">
        <f>+'S&amp;D'!A28</f>
        <v>Duke Energy</v>
      </c>
      <c r="B22" s="90" t="str">
        <f>+'S&amp;D'!B28</f>
        <v>DUK</v>
      </c>
      <c r="C22" s="90" t="str">
        <f>+'S&amp;D'!C28</f>
        <v>Electric Utility - East</v>
      </c>
      <c r="D22" s="60">
        <f>+'S&amp;D'!G28</f>
        <v>117.21</v>
      </c>
      <c r="E22" s="62">
        <v>6.7</v>
      </c>
      <c r="F22" s="66">
        <f t="shared" si="3"/>
        <v>5.7162358160566508E-2</v>
      </c>
      <c r="G22" s="62">
        <v>7.1</v>
      </c>
      <c r="H22" s="66">
        <f t="shared" si="0"/>
        <v>6.0575036259704805E-2</v>
      </c>
      <c r="I22" s="62">
        <v>8.5</v>
      </c>
      <c r="J22" s="66">
        <f>+I22/D22</f>
        <v>7.2519409606688859E-2</v>
      </c>
      <c r="K22" s="277">
        <f t="shared" si="2"/>
        <v>6.182641648078048E-2</v>
      </c>
    </row>
    <row r="23" spans="1:11" ht="17.25">
      <c r="A23" s="63" t="str">
        <f>+'S&amp;D'!A29</f>
        <v>Entergy Corp</v>
      </c>
      <c r="B23" s="90" t="str">
        <f>+'S&amp;D'!B29</f>
        <v>ETR</v>
      </c>
      <c r="C23" s="90" t="str">
        <f>+'S&amp;D'!C29</f>
        <v>Electric Utility - Cent</v>
      </c>
      <c r="D23" s="60">
        <f>+'S&amp;D'!G29</f>
        <v>92.43</v>
      </c>
      <c r="E23" s="62">
        <v>3.6</v>
      </c>
      <c r="F23" s="66">
        <f t="shared" si="3"/>
        <v>3.8948393378773122E-2</v>
      </c>
      <c r="G23" s="62">
        <v>3.9</v>
      </c>
      <c r="H23" s="66">
        <f t="shared" si="0"/>
        <v>4.2194092827004218E-2</v>
      </c>
      <c r="I23" s="62">
        <v>4.3499999999999996</v>
      </c>
      <c r="J23" s="66">
        <f t="shared" si="1"/>
        <v>4.7062641999350854E-2</v>
      </c>
      <c r="K23" s="277">
        <f t="shared" si="2"/>
        <v>3.7070347012313876E-2</v>
      </c>
    </row>
    <row r="24" spans="1:11" ht="17.25">
      <c r="A24" s="63" t="str">
        <f>+'S&amp;D'!A30</f>
        <v>Evergy Inc</v>
      </c>
      <c r="B24" s="90" t="str">
        <f>+'S&amp;D'!B30</f>
        <v>EVRG</v>
      </c>
      <c r="C24" s="90" t="str">
        <f>+'S&amp;D'!C30</f>
        <v>Electric Utility - Cent</v>
      </c>
      <c r="D24" s="60">
        <f>+'S&amp;D'!G30</f>
        <v>72.489999999999995</v>
      </c>
      <c r="E24" s="62">
        <v>4.25</v>
      </c>
      <c r="F24" s="66">
        <f t="shared" si="3"/>
        <v>5.8628776382949374E-2</v>
      </c>
      <c r="G24" s="62">
        <v>4.55</v>
      </c>
      <c r="H24" s="66">
        <f t="shared" si="0"/>
        <v>6.2767278245275213E-2</v>
      </c>
      <c r="I24" s="62">
        <v>5.3</v>
      </c>
      <c r="J24" s="66">
        <f t="shared" si="1"/>
        <v>7.3113532901089809E-2</v>
      </c>
      <c r="K24" s="277">
        <f t="shared" si="2"/>
        <v>5.217543374969031E-2</v>
      </c>
    </row>
    <row r="25" spans="1:11" ht="17.25">
      <c r="A25" s="63" t="str">
        <f>+'S&amp;D'!A31</f>
        <v>FirstEnergy Corp</v>
      </c>
      <c r="B25" s="90" t="str">
        <f>+'S&amp;D'!B31</f>
        <v>FE</v>
      </c>
      <c r="C25" s="90" t="str">
        <f>+'S&amp;D'!C31</f>
        <v>Electric Utility - East</v>
      </c>
      <c r="D25" s="60">
        <f>+'S&amp;D'!G31</f>
        <v>44.77</v>
      </c>
      <c r="E25" s="62">
        <v>2.7</v>
      </c>
      <c r="F25" s="66">
        <f t="shared" si="3"/>
        <v>6.0308242126423946E-2</v>
      </c>
      <c r="G25" s="62">
        <v>2.9</v>
      </c>
      <c r="H25" s="66">
        <f t="shared" si="0"/>
        <v>6.4775519320973862E-2</v>
      </c>
      <c r="I25" s="62">
        <v>3.6</v>
      </c>
      <c r="J25" s="66">
        <f t="shared" si="1"/>
        <v>8.0410989501898594E-2</v>
      </c>
      <c r="K25" s="277">
        <f t="shared" si="2"/>
        <v>7.4735268605590974E-2</v>
      </c>
    </row>
    <row r="26" spans="1:11" ht="17.25">
      <c r="A26" s="63" t="str">
        <f>+'S&amp;D'!A32</f>
        <v>OGE Energy Corp.</v>
      </c>
      <c r="B26" s="90" t="str">
        <f>+'S&amp;D'!B32</f>
        <v>OGE</v>
      </c>
      <c r="C26" s="90" t="str">
        <f>+'S&amp;D'!C32</f>
        <v>Electric Utility - Cent</v>
      </c>
      <c r="D26" s="60">
        <f>+'S&amp;D'!G32</f>
        <v>42.7</v>
      </c>
      <c r="E26" s="62">
        <v>2.4500000000000002</v>
      </c>
      <c r="F26" s="66">
        <f t="shared" si="3"/>
        <v>5.737704918032787E-2</v>
      </c>
      <c r="G26" s="62">
        <v>2.6</v>
      </c>
      <c r="H26" s="66">
        <f t="shared" si="0"/>
        <v>6.0889929742388757E-2</v>
      </c>
      <c r="I26" s="62">
        <v>3.15</v>
      </c>
      <c r="J26" s="66">
        <f t="shared" si="1"/>
        <v>7.3770491803278687E-2</v>
      </c>
      <c r="K26" s="277">
        <f t="shared" si="2"/>
        <v>6.6053667551115677E-2</v>
      </c>
    </row>
    <row r="27" spans="1:11" ht="17.25">
      <c r="A27" s="63" t="str">
        <f>+'S&amp;D'!A33</f>
        <v>Otter Tail Corp</v>
      </c>
      <c r="B27" s="90" t="str">
        <f>+'S&amp;D'!B33</f>
        <v>OTTR</v>
      </c>
      <c r="C27" s="90" t="str">
        <f>+'S&amp;D'!C33</f>
        <v>Electric Utility - Cent</v>
      </c>
      <c r="D27" s="60">
        <f>+'S&amp;D'!G33</f>
        <v>80.81</v>
      </c>
      <c r="E27" s="62">
        <v>5.4</v>
      </c>
      <c r="F27" s="66">
        <f t="shared" si="3"/>
        <v>6.6823412943942589E-2</v>
      </c>
      <c r="G27" s="62">
        <v>5.05</v>
      </c>
      <c r="H27" s="66">
        <f t="shared" si="0"/>
        <v>6.2492265808687039E-2</v>
      </c>
      <c r="I27" s="62">
        <v>6.5</v>
      </c>
      <c r="J27" s="66">
        <f t="shared" si="1"/>
        <v>8.0435589654745704E-2</v>
      </c>
      <c r="K27" s="277">
        <f>RATE(3,,-G27,I27)</f>
        <v>8.7778972882069567E-2</v>
      </c>
    </row>
    <row r="28" spans="1:11" ht="17.25">
      <c r="A28" s="63" t="str">
        <f>+'S&amp;D'!A34</f>
        <v>PPL Corporation</v>
      </c>
      <c r="B28" s="90" t="str">
        <f>+'S&amp;D'!B34</f>
        <v>PPL</v>
      </c>
      <c r="C28" s="90" t="str">
        <f>+'S&amp;D'!C34</f>
        <v>Electric Utility - East</v>
      </c>
      <c r="D28" s="60">
        <f>+'S&amp;D'!G34</f>
        <v>35.020000000000003</v>
      </c>
      <c r="E28" s="62">
        <v>1.95</v>
      </c>
      <c r="F28" s="66">
        <f t="shared" si="3"/>
        <v>5.5682467161621924E-2</v>
      </c>
      <c r="G28" s="62">
        <v>2.1</v>
      </c>
      <c r="H28" s="66">
        <f t="shared" si="0"/>
        <v>5.9965733866362073E-2</v>
      </c>
      <c r="I28" s="62">
        <v>2.65</v>
      </c>
      <c r="J28" s="66">
        <f t="shared" si="1"/>
        <v>7.5671045117075952E-2</v>
      </c>
      <c r="K28" s="277">
        <f t="shared" si="2"/>
        <v>8.0626283387946862E-2</v>
      </c>
    </row>
    <row r="29" spans="1:11" ht="17.25">
      <c r="A29" s="63" t="str">
        <f>+'S&amp;D'!A35</f>
        <v>The Southern Company</v>
      </c>
      <c r="B29" s="90" t="str">
        <f>+'S&amp;D'!B35</f>
        <v>SO</v>
      </c>
      <c r="C29" s="90" t="str">
        <f>+'S&amp;D'!C35</f>
        <v>Electric Utility - East</v>
      </c>
      <c r="D29" s="60">
        <f>+'S&amp;D'!G35</f>
        <v>87.2</v>
      </c>
      <c r="E29" s="62">
        <v>4.55</v>
      </c>
      <c r="F29" s="66">
        <f t="shared" si="3"/>
        <v>5.2178899082568807E-2</v>
      </c>
      <c r="G29" s="62">
        <v>4.8</v>
      </c>
      <c r="H29" s="66">
        <f t="shared" si="0"/>
        <v>5.5045871559633024E-2</v>
      </c>
      <c r="I29" s="62">
        <v>6</v>
      </c>
      <c r="J29" s="66">
        <f t="shared" si="1"/>
        <v>6.8807339449541288E-2</v>
      </c>
      <c r="K29" s="277">
        <f>RATE(3,,-G29,I29)</f>
        <v>7.7217345015989369E-2</v>
      </c>
    </row>
    <row r="30" spans="1:11" ht="17.25">
      <c r="A30" s="63" t="str">
        <f>+'S&amp;D'!A36</f>
        <v>WEC Energy Group</v>
      </c>
      <c r="B30" s="90" t="str">
        <f>+'S&amp;D'!B36</f>
        <v>WEC</v>
      </c>
      <c r="C30" s="90" t="str">
        <f>+'S&amp;D'!C36</f>
        <v>Electric Utility - Cent</v>
      </c>
      <c r="D30" s="60">
        <f>+'S&amp;D'!G36</f>
        <v>105.46</v>
      </c>
      <c r="E30" s="62">
        <v>5.6</v>
      </c>
      <c r="F30" s="66">
        <f t="shared" si="3"/>
        <v>5.3100701687843734E-2</v>
      </c>
      <c r="G30" s="62">
        <v>6</v>
      </c>
      <c r="H30" s="66">
        <f t="shared" si="0"/>
        <v>5.6893608951261145E-2</v>
      </c>
      <c r="I30" s="62">
        <v>7.25</v>
      </c>
      <c r="J30" s="66">
        <f t="shared" si="1"/>
        <v>6.8746444149440547E-2</v>
      </c>
      <c r="K30" s="277">
        <f t="shared" si="2"/>
        <v>6.5112754734579351E-2</v>
      </c>
    </row>
    <row r="31" spans="1:11" ht="17.25" thickBot="1">
      <c r="A31" s="13"/>
      <c r="B31" s="13"/>
      <c r="C31" s="44"/>
      <c r="D31" s="47"/>
      <c r="E31" s="47"/>
      <c r="F31" s="47"/>
      <c r="G31" s="47"/>
      <c r="H31" s="47"/>
      <c r="I31" s="47"/>
      <c r="J31" s="47"/>
      <c r="K31" s="47"/>
    </row>
    <row r="32" spans="1:11" ht="17.25" thickTop="1">
      <c r="A32" s="13"/>
      <c r="B32" s="13"/>
      <c r="D32" s="15" t="s">
        <v>64</v>
      </c>
      <c r="E32" s="17">
        <f t="shared" ref="E32:K32" si="4">+MAX(E16:E30)</f>
        <v>7.7</v>
      </c>
      <c r="F32" s="275">
        <f t="shared" si="4"/>
        <v>6.6823412943942589E-2</v>
      </c>
      <c r="G32" s="17">
        <f t="shared" si="4"/>
        <v>8.3000000000000007</v>
      </c>
      <c r="H32" s="275">
        <f t="shared" si="4"/>
        <v>6.4775519320973862E-2</v>
      </c>
      <c r="I32" s="17">
        <f t="shared" si="4"/>
        <v>9.5</v>
      </c>
      <c r="J32" s="275">
        <f t="shared" si="4"/>
        <v>8.0435589654745704E-2</v>
      </c>
      <c r="K32" s="275">
        <f t="shared" si="4"/>
        <v>8.7778972882069567E-2</v>
      </c>
    </row>
    <row r="33" spans="1:11" ht="16.5">
      <c r="A33" s="13"/>
      <c r="B33" s="13"/>
      <c r="D33" s="15" t="s">
        <v>65</v>
      </c>
      <c r="E33" s="279">
        <f t="shared" ref="E33:K33" si="5">MIN(E16:E30)</f>
        <v>1.9</v>
      </c>
      <c r="F33" s="276">
        <f t="shared" si="5"/>
        <v>3.8948393378773122E-2</v>
      </c>
      <c r="G33" s="279">
        <f t="shared" si="5"/>
        <v>2.1</v>
      </c>
      <c r="H33" s="276">
        <f t="shared" si="5"/>
        <v>4.2194092827004218E-2</v>
      </c>
      <c r="I33" s="279">
        <f t="shared" si="5"/>
        <v>2.4</v>
      </c>
      <c r="J33" s="276">
        <f t="shared" si="5"/>
        <v>4.7062641999350854E-2</v>
      </c>
      <c r="K33" s="276">
        <f t="shared" si="5"/>
        <v>3.3199332429568636E-2</v>
      </c>
    </row>
    <row r="34" spans="1:11" ht="16.5">
      <c r="A34" s="13"/>
      <c r="B34" s="13"/>
      <c r="D34" s="15" t="s">
        <v>18</v>
      </c>
      <c r="E34" s="18">
        <f t="shared" ref="E34:K34" si="6">MEDIAN(E16:E30)</f>
        <v>4.25</v>
      </c>
      <c r="F34" s="55">
        <f t="shared" si="6"/>
        <v>5.4635330847281241E-2</v>
      </c>
      <c r="G34" s="18">
        <f t="shared" si="6"/>
        <v>4.55</v>
      </c>
      <c r="H34" s="55">
        <f t="shared" si="6"/>
        <v>5.8971468216113085E-2</v>
      </c>
      <c r="I34" s="18">
        <f t="shared" si="6"/>
        <v>5.3</v>
      </c>
      <c r="J34" s="55">
        <f t="shared" si="6"/>
        <v>7.2519409606688859E-2</v>
      </c>
      <c r="K34" s="55">
        <f t="shared" si="6"/>
        <v>6.6053667551115677E-2</v>
      </c>
    </row>
    <row r="35" spans="1:11" ht="16.5">
      <c r="A35" s="13"/>
      <c r="B35" s="13"/>
      <c r="D35" s="15" t="s">
        <v>400</v>
      </c>
      <c r="E35" s="22">
        <f t="shared" ref="E35:K35" si="7">AVERAGE(E16:E30)</f>
        <v>4.38</v>
      </c>
      <c r="F35" s="57">
        <f t="shared" si="7"/>
        <v>5.5005681731427294E-2</v>
      </c>
      <c r="G35" s="22">
        <f t="shared" si="7"/>
        <v>4.6533333333333324</v>
      </c>
      <c r="H35" s="57">
        <f t="shared" si="7"/>
        <v>5.848804288418858E-2</v>
      </c>
      <c r="I35" s="22">
        <f t="shared" si="7"/>
        <v>5.5700000000000012</v>
      </c>
      <c r="J35" s="57">
        <f t="shared" si="7"/>
        <v>7.0471115360388623E-2</v>
      </c>
      <c r="K35" s="57">
        <f t="shared" si="7"/>
        <v>6.3328185965102854E-2</v>
      </c>
    </row>
    <row r="36" spans="1:11" ht="16.5">
      <c r="A36" s="13"/>
      <c r="B36" s="13"/>
      <c r="D36" s="13"/>
      <c r="E36" s="13"/>
      <c r="F36" s="13"/>
      <c r="G36" s="13"/>
      <c r="H36" s="13"/>
      <c r="I36" s="13"/>
      <c r="J36" s="13"/>
      <c r="K36" s="13"/>
    </row>
    <row r="37" spans="1:11" ht="26.25">
      <c r="A37" s="13"/>
      <c r="B37" s="13"/>
      <c r="C37" s="13"/>
      <c r="D37" s="13"/>
      <c r="E37" s="13"/>
      <c r="F37" s="49" t="s">
        <v>0</v>
      </c>
      <c r="G37" s="64" t="s">
        <v>0</v>
      </c>
      <c r="H37" s="13"/>
      <c r="I37" s="13"/>
      <c r="J37" s="13"/>
      <c r="K37" s="13"/>
    </row>
    <row r="38" spans="1:11" ht="18.75">
      <c r="A38" s="206" t="s">
        <v>288</v>
      </c>
    </row>
  </sheetData>
  <pageMargins left="0.25" right="0.25" top="0.75" bottom="0.75" header="0.3" footer="0.3"/>
  <pageSetup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67"/>
  <sheetViews>
    <sheetView view="pageBreakPreview" zoomScale="80" zoomScaleNormal="80" zoomScaleSheetLayoutView="80" workbookViewId="0">
      <selection activeCell="F6" sqref="F6"/>
    </sheetView>
  </sheetViews>
  <sheetFormatPr defaultRowHeight="15"/>
  <cols>
    <col min="1" max="1" width="41.140625" customWidth="1"/>
    <col min="2" max="2" width="10.85546875" bestFit="1" customWidth="1"/>
    <col min="3" max="3" width="27.140625" customWidth="1"/>
    <col min="4" max="4" width="19.5703125" customWidth="1"/>
    <col min="5" max="5" width="21.85546875" customWidth="1"/>
    <col min="6" max="6" width="18" customWidth="1"/>
    <col min="7" max="7" width="12.42578125" customWidth="1"/>
    <col min="8" max="8" width="20.5703125" customWidth="1"/>
    <col min="9" max="9" width="12.42578125" customWidth="1"/>
    <col min="10" max="11" width="20.5703125" customWidth="1"/>
    <col min="12" max="12" width="26.5703125" customWidth="1"/>
    <col min="13" max="13" width="6.5703125" customWidth="1"/>
  </cols>
  <sheetData>
    <row r="1" spans="1:13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6.5">
      <c r="A3" s="27" t="s">
        <v>475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6.5">
      <c r="A4" s="27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7.25" thickBot="1">
      <c r="A5" s="13"/>
      <c r="B5" s="13"/>
      <c r="C5" s="13"/>
      <c r="D5" s="13"/>
      <c r="E5" s="13"/>
      <c r="F5" s="13"/>
      <c r="G5" s="28"/>
      <c r="H5" s="28"/>
      <c r="I5" s="13"/>
      <c r="J5" s="13"/>
      <c r="K5" s="13"/>
      <c r="L5" s="13"/>
      <c r="M5" s="13"/>
    </row>
    <row r="6" spans="1:13" ht="21" thickBot="1">
      <c r="A6" s="240" t="str">
        <f>+'S&amp;D'!A12</f>
        <v>Electric Utilities</v>
      </c>
      <c r="B6" s="177"/>
      <c r="C6" s="13"/>
      <c r="D6" s="30"/>
      <c r="E6" s="30"/>
      <c r="F6" s="462" t="s">
        <v>0</v>
      </c>
      <c r="G6" s="13"/>
      <c r="H6" s="13"/>
      <c r="I6" s="13"/>
      <c r="J6" s="13"/>
      <c r="K6" s="13"/>
      <c r="L6" s="13"/>
      <c r="M6" s="13"/>
    </row>
    <row r="7" spans="1:13" ht="26.25">
      <c r="A7" s="31"/>
      <c r="B7" s="13"/>
      <c r="C7" s="13"/>
      <c r="D7" s="13"/>
      <c r="E7" s="32" t="s">
        <v>473</v>
      </c>
      <c r="F7" s="13"/>
      <c r="G7" s="13"/>
      <c r="H7" s="13"/>
      <c r="I7" s="13"/>
      <c r="J7" s="13"/>
      <c r="K7" s="13"/>
      <c r="L7" s="13"/>
      <c r="M7" s="13"/>
    </row>
    <row r="8" spans="1:13" ht="21" thickBot="1">
      <c r="A8" s="31"/>
      <c r="B8" s="13"/>
      <c r="C8" s="13"/>
      <c r="D8" s="30"/>
      <c r="E8" s="33" t="s">
        <v>488</v>
      </c>
      <c r="F8" s="30"/>
      <c r="G8" s="13"/>
      <c r="H8" s="13"/>
      <c r="I8" s="13"/>
      <c r="J8" s="13"/>
      <c r="K8" s="13"/>
      <c r="L8" s="13"/>
      <c r="M8" s="13"/>
    </row>
    <row r="9" spans="1:13" ht="17.25" thickBot="1">
      <c r="A9" s="34" t="s">
        <v>0</v>
      </c>
      <c r="B9" s="34" t="s">
        <v>0</v>
      </c>
      <c r="C9" s="34" t="s">
        <v>0</v>
      </c>
      <c r="D9" s="34" t="s">
        <v>0</v>
      </c>
      <c r="E9" s="34" t="s">
        <v>0</v>
      </c>
      <c r="F9" s="34" t="s">
        <v>0</v>
      </c>
      <c r="G9" s="34"/>
      <c r="H9" s="34"/>
      <c r="I9" s="34" t="s">
        <v>0</v>
      </c>
      <c r="J9" s="30"/>
      <c r="K9" s="13"/>
      <c r="L9" s="13"/>
      <c r="M9" s="13"/>
    </row>
    <row r="10" spans="1:13" ht="16.5">
      <c r="A10" s="35" t="s">
        <v>0</v>
      </c>
      <c r="B10" s="35" t="s">
        <v>3</v>
      </c>
      <c r="C10" s="35" t="s">
        <v>5</v>
      </c>
      <c r="D10" s="35" t="s">
        <v>21</v>
      </c>
      <c r="E10" s="35" t="s">
        <v>20</v>
      </c>
      <c r="F10" s="35" t="s">
        <v>81</v>
      </c>
      <c r="G10" s="35" t="s">
        <v>158</v>
      </c>
      <c r="H10" s="35" t="s">
        <v>471</v>
      </c>
      <c r="I10" s="35" t="s">
        <v>158</v>
      </c>
      <c r="J10" s="35" t="s">
        <v>75</v>
      </c>
      <c r="K10" s="13"/>
      <c r="L10" s="13"/>
      <c r="M10" s="13"/>
    </row>
    <row r="11" spans="1:13" ht="17.25" thickBot="1">
      <c r="A11" s="37" t="s">
        <v>2</v>
      </c>
      <c r="B11" s="37" t="s">
        <v>4</v>
      </c>
      <c r="C11" s="37" t="s">
        <v>6</v>
      </c>
      <c r="D11" s="37" t="s">
        <v>23</v>
      </c>
      <c r="E11" s="37" t="s">
        <v>22</v>
      </c>
      <c r="F11" s="37" t="s">
        <v>76</v>
      </c>
      <c r="G11" s="37" t="s">
        <v>76</v>
      </c>
      <c r="H11" s="37" t="s">
        <v>76</v>
      </c>
      <c r="I11" s="37" t="s">
        <v>76</v>
      </c>
      <c r="J11" s="37" t="s">
        <v>79</v>
      </c>
      <c r="K11" s="13"/>
      <c r="L11" s="13"/>
      <c r="M11" s="13"/>
    </row>
    <row r="12" spans="1:13" ht="16.5">
      <c r="A12" s="39" t="s">
        <v>7</v>
      </c>
      <c r="B12" s="39" t="s">
        <v>7</v>
      </c>
      <c r="C12" s="39" t="s">
        <v>7</v>
      </c>
      <c r="D12" s="39" t="s">
        <v>7</v>
      </c>
      <c r="E12" s="39" t="s">
        <v>7</v>
      </c>
      <c r="F12" s="39" t="s">
        <v>80</v>
      </c>
      <c r="G12" s="39"/>
      <c r="H12" s="39" t="s">
        <v>471</v>
      </c>
      <c r="I12" s="39"/>
      <c r="J12" s="39" t="s">
        <v>75</v>
      </c>
      <c r="K12" s="13"/>
      <c r="L12" s="13"/>
      <c r="M12" s="13"/>
    </row>
    <row r="13" spans="1:13" ht="16.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13"/>
      <c r="L13" s="13"/>
      <c r="M13" s="13"/>
    </row>
    <row r="14" spans="1:13" ht="16.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ht="17.25">
      <c r="A15" s="63" t="str">
        <f>+'S&amp;D'!A22</f>
        <v>Alliant Energy</v>
      </c>
      <c r="B15" s="90" t="str">
        <f>+'S&amp;D'!B22</f>
        <v>LNT</v>
      </c>
      <c r="C15" s="90" t="str">
        <f>+'S&amp;D'!C22</f>
        <v>Electric Utility - Cent</v>
      </c>
      <c r="D15" s="54">
        <f>+'Beta for CAPM'!D18</f>
        <v>0.02</v>
      </c>
      <c r="E15" s="35" t="str">
        <f>+'Beta for CAPM'!G18</f>
        <v>A</v>
      </c>
      <c r="F15" s="35" t="s">
        <v>85</v>
      </c>
      <c r="G15" s="269">
        <v>10</v>
      </c>
      <c r="H15" s="62" t="s">
        <v>84</v>
      </c>
      <c r="I15" s="269">
        <f t="shared" ref="I15:I29" si="0">VLOOKUP(H15,$A$43:$E$66,2,0)</f>
        <v>11</v>
      </c>
      <c r="J15" s="66">
        <f t="shared" ref="J15:J29" si="1">VLOOKUP(I15,$B$43:$E$66,4,0)</f>
        <v>5.8799999999999998E-2</v>
      </c>
      <c r="K15" s="13" t="s">
        <v>0</v>
      </c>
      <c r="L15" s="13"/>
      <c r="M15" s="13"/>
    </row>
    <row r="16" spans="1:13" ht="17.25">
      <c r="A16" s="63" t="str">
        <f>+'S&amp;D'!A23</f>
        <v>AMEREN Corporation</v>
      </c>
      <c r="B16" s="90" t="str">
        <f>+'S&amp;D'!B23</f>
        <v>AEE</v>
      </c>
      <c r="C16" s="90" t="str">
        <f>+'S&amp;D'!C23</f>
        <v>Electric Utility - Cent</v>
      </c>
      <c r="D16" s="54">
        <f>+'Beta for CAPM'!D19</f>
        <v>0.12</v>
      </c>
      <c r="E16" s="35" t="str">
        <f>+'Beta for CAPM'!G19</f>
        <v>A</v>
      </c>
      <c r="F16" s="35" t="s">
        <v>85</v>
      </c>
      <c r="G16" s="269">
        <v>10</v>
      </c>
      <c r="H16" s="62" t="s">
        <v>83</v>
      </c>
      <c r="I16" s="269">
        <f t="shared" si="0"/>
        <v>10</v>
      </c>
      <c r="J16" s="66">
        <f t="shared" si="1"/>
        <v>5.8799999999999998E-2</v>
      </c>
      <c r="K16" s="13" t="s">
        <v>0</v>
      </c>
      <c r="L16" s="13"/>
      <c r="M16" s="13"/>
    </row>
    <row r="17" spans="1:13" ht="17.25">
      <c r="A17" s="63" t="str">
        <f>+'S&amp;D'!A24</f>
        <v>American Electric Power</v>
      </c>
      <c r="B17" s="90" t="str">
        <f>+'S&amp;D'!B24</f>
        <v>AEP</v>
      </c>
      <c r="C17" s="90" t="str">
        <f>+'S&amp;D'!C24</f>
        <v>Electric Utility - Cent</v>
      </c>
      <c r="D17" s="54">
        <f>+'Beta for CAPM'!D20</f>
        <v>0.21</v>
      </c>
      <c r="E17" s="35" t="str">
        <f>+'Beta for CAPM'!G20</f>
        <v>A</v>
      </c>
      <c r="F17" s="35" t="s">
        <v>85</v>
      </c>
      <c r="G17" s="269">
        <v>10</v>
      </c>
      <c r="H17" s="62" t="s">
        <v>84</v>
      </c>
      <c r="I17" s="269">
        <f t="shared" si="0"/>
        <v>11</v>
      </c>
      <c r="J17" s="66">
        <f t="shared" si="1"/>
        <v>5.8799999999999998E-2</v>
      </c>
      <c r="K17" s="13" t="s">
        <v>0</v>
      </c>
      <c r="L17" s="13"/>
      <c r="M17" s="13"/>
    </row>
    <row r="18" spans="1:13" ht="17.25">
      <c r="A18" s="63" t="str">
        <f>+'S&amp;D'!A25</f>
        <v>Centerpoint Energy</v>
      </c>
      <c r="B18" s="90" t="str">
        <f>+'S&amp;D'!B25</f>
        <v>CNP</v>
      </c>
      <c r="C18" s="90" t="str">
        <f>+'S&amp;D'!C25</f>
        <v>Electric Utility - Cent</v>
      </c>
      <c r="D18" s="54">
        <f>+'Beta for CAPM'!D21</f>
        <v>0.16</v>
      </c>
      <c r="E18" s="35" t="str">
        <f>+'Beta for CAPM'!G21</f>
        <v>B++</v>
      </c>
      <c r="F18" s="35" t="s">
        <v>85</v>
      </c>
      <c r="G18" s="269">
        <v>10</v>
      </c>
      <c r="H18" s="62" t="s">
        <v>84</v>
      </c>
      <c r="I18" s="269">
        <f t="shared" si="0"/>
        <v>11</v>
      </c>
      <c r="J18" s="66">
        <f t="shared" si="1"/>
        <v>5.8799999999999998E-2</v>
      </c>
      <c r="K18" s="13" t="s">
        <v>0</v>
      </c>
      <c r="L18" s="13"/>
      <c r="M18" s="13"/>
    </row>
    <row r="19" spans="1:13" ht="17.25">
      <c r="A19" s="63" t="str">
        <f>+'S&amp;D'!A26</f>
        <v>CMS Energy</v>
      </c>
      <c r="B19" s="90" t="str">
        <f>+'S&amp;D'!B26</f>
        <v>CMS</v>
      </c>
      <c r="C19" s="90" t="str">
        <f>+'S&amp;D'!C26</f>
        <v>Electric Utility - Cent</v>
      </c>
      <c r="D19" s="54">
        <f>+'Beta for CAPM'!D22</f>
        <v>0.2</v>
      </c>
      <c r="E19" s="35" t="str">
        <f>+'Beta for CAPM'!G22</f>
        <v>B++</v>
      </c>
      <c r="F19" s="35" t="s">
        <v>85</v>
      </c>
      <c r="G19" s="269">
        <v>10</v>
      </c>
      <c r="H19" s="62" t="s">
        <v>84</v>
      </c>
      <c r="I19" s="269">
        <f t="shared" si="0"/>
        <v>11</v>
      </c>
      <c r="J19" s="66">
        <f t="shared" si="1"/>
        <v>5.8799999999999998E-2</v>
      </c>
      <c r="K19" s="13" t="s">
        <v>0</v>
      </c>
      <c r="L19" s="13"/>
      <c r="M19" s="13"/>
    </row>
    <row r="20" spans="1:13" ht="17.25">
      <c r="A20" s="63" t="str">
        <f>+'S&amp;D'!A27</f>
        <v>DTE Energy</v>
      </c>
      <c r="B20" s="90" t="str">
        <f>+'S&amp;D'!B27</f>
        <v>DTE</v>
      </c>
      <c r="C20" s="90" t="str">
        <f>+'S&amp;D'!C27</f>
        <v>Electric Utility - Cent</v>
      </c>
      <c r="D20" s="54">
        <f>+'Beta for CAPM'!D23</f>
        <v>0.05</v>
      </c>
      <c r="E20" s="35" t="str">
        <f>+'Beta for CAPM'!G23</f>
        <v>B++</v>
      </c>
      <c r="F20" s="35" t="s">
        <v>85</v>
      </c>
      <c r="G20" s="269">
        <v>10</v>
      </c>
      <c r="H20" s="62" t="s">
        <v>84</v>
      </c>
      <c r="I20" s="269">
        <f t="shared" si="0"/>
        <v>11</v>
      </c>
      <c r="J20" s="66">
        <f t="shared" si="1"/>
        <v>5.8799999999999998E-2</v>
      </c>
      <c r="K20" s="13" t="s">
        <v>0</v>
      </c>
      <c r="L20" s="13"/>
      <c r="M20" s="13"/>
    </row>
    <row r="21" spans="1:13" ht="17.25">
      <c r="A21" s="63" t="str">
        <f>+'S&amp;D'!A28</f>
        <v>Duke Energy</v>
      </c>
      <c r="B21" s="90" t="str">
        <f>+'S&amp;D'!B28</f>
        <v>DUK</v>
      </c>
      <c r="C21" s="90" t="str">
        <f>+'S&amp;D'!C28</f>
        <v>Electric Utility - East</v>
      </c>
      <c r="D21" s="54">
        <f>+'Beta for CAPM'!D24</f>
        <v>0.11</v>
      </c>
      <c r="E21" s="35" t="str">
        <f>+'Beta for CAPM'!G24</f>
        <v>A</v>
      </c>
      <c r="F21" s="35" t="s">
        <v>85</v>
      </c>
      <c r="G21" s="269">
        <v>10</v>
      </c>
      <c r="H21" s="62" t="s">
        <v>84</v>
      </c>
      <c r="I21" s="269">
        <f t="shared" si="0"/>
        <v>11</v>
      </c>
      <c r="J21" s="66">
        <f t="shared" si="1"/>
        <v>5.8799999999999998E-2</v>
      </c>
      <c r="K21" s="14" t="s">
        <v>0</v>
      </c>
      <c r="L21" s="13"/>
      <c r="M21" s="13"/>
    </row>
    <row r="22" spans="1:13" ht="17.25">
      <c r="A22" s="63" t="str">
        <f>+'S&amp;D'!A29</f>
        <v>Entergy Corp</v>
      </c>
      <c r="B22" s="90" t="str">
        <f>+'S&amp;D'!B29</f>
        <v>ETR</v>
      </c>
      <c r="C22" s="90" t="str">
        <f>+'S&amp;D'!C29</f>
        <v>Electric Utility - Cent</v>
      </c>
      <c r="D22" s="54">
        <f>+'Beta for CAPM'!D25</f>
        <v>0.2</v>
      </c>
      <c r="E22" s="35" t="str">
        <f>+'Beta for CAPM'!G25</f>
        <v>A</v>
      </c>
      <c r="F22" s="35" t="s">
        <v>85</v>
      </c>
      <c r="G22" s="269">
        <v>10</v>
      </c>
      <c r="H22" s="62" t="s">
        <v>84</v>
      </c>
      <c r="I22" s="269">
        <f t="shared" si="0"/>
        <v>11</v>
      </c>
      <c r="J22" s="66">
        <f t="shared" si="1"/>
        <v>5.8799999999999998E-2</v>
      </c>
      <c r="K22" s="13" t="s">
        <v>0</v>
      </c>
      <c r="L22" s="13"/>
      <c r="M22" s="13"/>
    </row>
    <row r="23" spans="1:13" ht="17.25">
      <c r="A23" s="63" t="str">
        <f>+'S&amp;D'!A30</f>
        <v>Evergy Inc</v>
      </c>
      <c r="B23" s="90" t="str">
        <f>+'S&amp;D'!B30</f>
        <v>EVRG</v>
      </c>
      <c r="C23" s="90" t="str">
        <f>+'S&amp;D'!C30</f>
        <v>Electric Utility - Cent</v>
      </c>
      <c r="D23" s="54">
        <f>+'Beta for CAPM'!D26</f>
        <v>0.06</v>
      </c>
      <c r="E23" s="35" t="s">
        <v>26</v>
      </c>
      <c r="F23" s="35" t="s">
        <v>85</v>
      </c>
      <c r="G23" s="269">
        <v>10</v>
      </c>
      <c r="H23" s="62" t="s">
        <v>84</v>
      </c>
      <c r="I23" s="269">
        <f t="shared" si="0"/>
        <v>11</v>
      </c>
      <c r="J23" s="66">
        <f t="shared" si="1"/>
        <v>5.8799999999999998E-2</v>
      </c>
      <c r="K23" s="13"/>
      <c r="L23" s="13"/>
      <c r="M23" s="13"/>
    </row>
    <row r="24" spans="1:13" ht="17.25">
      <c r="A24" s="63" t="str">
        <f>+'S&amp;D'!A31</f>
        <v>FirstEnergy Corp</v>
      </c>
      <c r="B24" s="90" t="str">
        <f>+'S&amp;D'!B31</f>
        <v>FE</v>
      </c>
      <c r="C24" s="90" t="str">
        <f>+'S&amp;D'!C31</f>
        <v>Electric Utility - East</v>
      </c>
      <c r="D24" s="54">
        <f>+'Beta for CAPM'!D27</f>
        <v>0.21</v>
      </c>
      <c r="E24" s="35" t="str">
        <f>+'Beta for CAPM'!G27</f>
        <v>B++</v>
      </c>
      <c r="F24" s="35" t="s">
        <v>85</v>
      </c>
      <c r="G24" s="269">
        <v>10</v>
      </c>
      <c r="H24" s="62" t="s">
        <v>91</v>
      </c>
      <c r="I24" s="269">
        <f t="shared" si="0"/>
        <v>12</v>
      </c>
      <c r="J24" s="66">
        <f t="shared" si="1"/>
        <v>5.8799999999999998E-2</v>
      </c>
      <c r="K24" s="13" t="s">
        <v>0</v>
      </c>
      <c r="L24" s="13"/>
      <c r="M24" s="13"/>
    </row>
    <row r="25" spans="1:13" ht="17.25">
      <c r="A25" s="63" t="str">
        <f>+'S&amp;D'!A32</f>
        <v>OGE Energy Corp.</v>
      </c>
      <c r="B25" s="90" t="str">
        <f>+'S&amp;D'!B32</f>
        <v>OGE</v>
      </c>
      <c r="C25" s="90" t="str">
        <f>+'S&amp;D'!C32</f>
        <v>Electric Utility - Cent</v>
      </c>
      <c r="D25" s="54">
        <f>+'Beta for CAPM'!D28</f>
        <v>0.15</v>
      </c>
      <c r="E25" s="35" t="str">
        <f>+'Beta for CAPM'!G28</f>
        <v>B++</v>
      </c>
      <c r="F25" s="35" t="s">
        <v>85</v>
      </c>
      <c r="G25" s="269">
        <v>10</v>
      </c>
      <c r="H25" s="62" t="s">
        <v>83</v>
      </c>
      <c r="I25" s="269">
        <f t="shared" si="0"/>
        <v>10</v>
      </c>
      <c r="J25" s="66">
        <f t="shared" si="1"/>
        <v>5.8799999999999998E-2</v>
      </c>
      <c r="K25" s="13" t="s">
        <v>0</v>
      </c>
      <c r="L25" s="13"/>
      <c r="M25" s="13"/>
    </row>
    <row r="26" spans="1:13" ht="17.25">
      <c r="A26" s="63" t="str">
        <f>+'S&amp;D'!A33</f>
        <v>Otter Tail Corp</v>
      </c>
      <c r="B26" s="90" t="str">
        <f>+'S&amp;D'!B33</f>
        <v>OTTR</v>
      </c>
      <c r="C26" s="90" t="str">
        <f>+'S&amp;D'!C33</f>
        <v>Electric Utility - Cent</v>
      </c>
      <c r="D26" s="54">
        <f>+'Beta for CAPM'!D29</f>
        <v>0.17499999999999999</v>
      </c>
      <c r="E26" s="35" t="str">
        <f>+'Beta for CAPM'!G29</f>
        <v>B++</v>
      </c>
      <c r="F26" s="35" t="s">
        <v>86</v>
      </c>
      <c r="G26" s="269">
        <v>11</v>
      </c>
      <c r="H26" s="62" t="s">
        <v>84</v>
      </c>
      <c r="I26" s="269">
        <f t="shared" si="0"/>
        <v>11</v>
      </c>
      <c r="J26" s="66">
        <f t="shared" si="1"/>
        <v>5.8799999999999998E-2</v>
      </c>
      <c r="K26" s="13" t="s">
        <v>0</v>
      </c>
      <c r="L26" s="13"/>
      <c r="M26" s="13"/>
    </row>
    <row r="27" spans="1:13" ht="17.25">
      <c r="A27" s="63" t="str">
        <f>+'S&amp;D'!A34</f>
        <v>PPL Corporation</v>
      </c>
      <c r="B27" s="90" t="str">
        <f>+'S&amp;D'!B34</f>
        <v>PPL</v>
      </c>
      <c r="C27" s="90" t="str">
        <f>+'S&amp;D'!C34</f>
        <v>Electric Utility - East</v>
      </c>
      <c r="D27" s="54">
        <f>+'Beta for CAPM'!D30</f>
        <v>0.21</v>
      </c>
      <c r="E27" s="35" t="str">
        <f>+'Beta for CAPM'!G30</f>
        <v>A+</v>
      </c>
      <c r="F27" s="35" t="s">
        <v>92</v>
      </c>
      <c r="G27" s="269">
        <v>9</v>
      </c>
      <c r="H27" s="62" t="s">
        <v>83</v>
      </c>
      <c r="I27" s="269">
        <f t="shared" si="0"/>
        <v>10</v>
      </c>
      <c r="J27" s="66">
        <f t="shared" si="1"/>
        <v>5.8799999999999998E-2</v>
      </c>
      <c r="K27" s="13" t="s">
        <v>0</v>
      </c>
      <c r="L27" s="13"/>
      <c r="M27" s="13"/>
    </row>
    <row r="28" spans="1:13" ht="17.25">
      <c r="A28" s="63" t="str">
        <f>+'S&amp;D'!A35</f>
        <v>The Southern Company</v>
      </c>
      <c r="B28" s="90" t="str">
        <f>+'S&amp;D'!B35</f>
        <v>SO</v>
      </c>
      <c r="C28" s="90" t="str">
        <f>+'S&amp;D'!C35</f>
        <v>Electric Utility - East</v>
      </c>
      <c r="D28" s="54">
        <f>+'Beta for CAPM'!D31</f>
        <v>0.15</v>
      </c>
      <c r="E28" s="35" t="str">
        <f>+'Beta for CAPM'!G31</f>
        <v>A</v>
      </c>
      <c r="F28" s="35" t="s">
        <v>92</v>
      </c>
      <c r="G28" s="269">
        <v>9</v>
      </c>
      <c r="H28" s="62" t="s">
        <v>83</v>
      </c>
      <c r="I28" s="269">
        <f t="shared" si="0"/>
        <v>10</v>
      </c>
      <c r="J28" s="66">
        <f t="shared" si="1"/>
        <v>5.8799999999999998E-2</v>
      </c>
      <c r="K28" s="13" t="s">
        <v>0</v>
      </c>
      <c r="L28" s="13"/>
      <c r="M28" s="13"/>
    </row>
    <row r="29" spans="1:13" ht="17.25">
      <c r="A29" s="63" t="str">
        <f>+'S&amp;D'!A36</f>
        <v>WEC Energy Group</v>
      </c>
      <c r="B29" s="90" t="str">
        <f>+'S&amp;D'!B36</f>
        <v>WEC</v>
      </c>
      <c r="C29" s="90" t="str">
        <f>+'S&amp;D'!C36</f>
        <v>Electric Utility - Cent</v>
      </c>
      <c r="D29" s="54">
        <f>+'Beta for CAPM'!D32</f>
        <v>0.19</v>
      </c>
      <c r="E29" s="35" t="str">
        <f>+'Beta for CAPM'!G32</f>
        <v>A</v>
      </c>
      <c r="F29" s="35" t="s">
        <v>92</v>
      </c>
      <c r="G29" s="269">
        <v>9</v>
      </c>
      <c r="H29" s="62" t="s">
        <v>83</v>
      </c>
      <c r="I29" s="269">
        <f t="shared" si="0"/>
        <v>10</v>
      </c>
      <c r="J29" s="66">
        <f t="shared" si="1"/>
        <v>5.8799999999999998E-2</v>
      </c>
      <c r="K29" s="13" t="s">
        <v>0</v>
      </c>
      <c r="L29" s="13"/>
      <c r="M29" s="13"/>
    </row>
    <row r="30" spans="1:13" ht="17.25" thickBot="1">
      <c r="A30" s="13"/>
      <c r="B30" s="13"/>
      <c r="C30" s="44"/>
      <c r="D30" s="47"/>
      <c r="E30" s="47"/>
      <c r="F30" s="47"/>
      <c r="G30" s="264"/>
      <c r="H30" s="47" t="s">
        <v>63</v>
      </c>
      <c r="I30" s="47"/>
      <c r="J30" s="47"/>
      <c r="K30" s="13"/>
      <c r="L30" s="13"/>
      <c r="M30" s="13"/>
    </row>
    <row r="31" spans="1:13" ht="17.25" thickTop="1">
      <c r="A31" s="13"/>
      <c r="B31" s="13"/>
      <c r="E31" s="15" t="s">
        <v>64</v>
      </c>
      <c r="F31" s="35"/>
      <c r="G31" s="263">
        <f>MAX(G15:G29)</f>
        <v>11</v>
      </c>
      <c r="I31" s="263">
        <f>MAX(I15:I29)</f>
        <v>12</v>
      </c>
      <c r="J31" s="53">
        <f>MAX(J15:J29)</f>
        <v>5.8799999999999998E-2</v>
      </c>
      <c r="K31" s="13"/>
      <c r="L31" s="13"/>
      <c r="M31" s="13"/>
    </row>
    <row r="32" spans="1:13" ht="16.5">
      <c r="A32" s="13"/>
      <c r="B32" s="13"/>
      <c r="E32" s="266" t="s">
        <v>65</v>
      </c>
      <c r="F32" s="123"/>
      <c r="G32" s="267">
        <f>MIN(G15:G29)</f>
        <v>9</v>
      </c>
      <c r="H32" s="222"/>
      <c r="I32" s="267">
        <f>MIN(I15:I29)</f>
        <v>10</v>
      </c>
      <c r="J32" s="268">
        <f>MIN(J15:J29)</f>
        <v>5.8799999999999998E-2</v>
      </c>
      <c r="K32" s="13"/>
      <c r="L32" s="13"/>
      <c r="M32" s="13"/>
    </row>
    <row r="33" spans="1:13" ht="16.5">
      <c r="A33" s="13"/>
      <c r="B33" s="13"/>
      <c r="E33" s="15" t="s">
        <v>18</v>
      </c>
      <c r="F33" s="56" t="s">
        <v>0</v>
      </c>
      <c r="G33" s="198">
        <f>MEDIAN(G15:G29)</f>
        <v>10</v>
      </c>
      <c r="I33" s="198">
        <f>MEDIAN(I15:I29)</f>
        <v>11</v>
      </c>
      <c r="J33" s="56">
        <f>MEDIAN(J15:J29)</f>
        <v>5.8799999999999998E-2</v>
      </c>
      <c r="K33" s="13"/>
      <c r="L33" s="13"/>
      <c r="M33" s="13"/>
    </row>
    <row r="34" spans="1:13" ht="16.5">
      <c r="A34" s="13"/>
      <c r="B34" s="13"/>
      <c r="D34" s="15" t="s">
        <v>0</v>
      </c>
      <c r="E34" s="15" t="s">
        <v>400</v>
      </c>
      <c r="F34" s="15"/>
      <c r="G34" s="199">
        <f>AVERAGE(G15:G29)</f>
        <v>9.8666666666666671</v>
      </c>
      <c r="I34" s="199">
        <f>AVERAGE(I15:I29)</f>
        <v>10.733333333333333</v>
      </c>
      <c r="J34" s="56">
        <f>AVERAGE(J15:J29)</f>
        <v>5.8799999999999984E-2</v>
      </c>
      <c r="K34" s="13"/>
      <c r="L34" s="13"/>
      <c r="M34" s="13"/>
    </row>
    <row r="35" spans="1:13" ht="16.5">
      <c r="A35" s="13"/>
      <c r="B35" s="13"/>
      <c r="D35" s="57"/>
      <c r="E35" s="15"/>
      <c r="F35" s="15"/>
      <c r="G35" s="199"/>
      <c r="I35" s="199"/>
      <c r="J35" s="56"/>
      <c r="K35" s="13"/>
      <c r="L35" s="13"/>
      <c r="M35" s="13"/>
    </row>
    <row r="36" spans="1:13" ht="17.25" thickBot="1">
      <c r="A36" s="13"/>
      <c r="B36" s="13"/>
      <c r="C36" s="13"/>
      <c r="D36" s="13"/>
      <c r="E36" s="15"/>
      <c r="F36" s="57"/>
      <c r="G36" s="13"/>
      <c r="H36" s="13"/>
      <c r="I36" s="13"/>
      <c r="J36" s="13"/>
      <c r="K36" s="13"/>
      <c r="L36" s="13"/>
      <c r="M36" s="13"/>
    </row>
    <row r="37" spans="1:13" ht="27" thickBot="1">
      <c r="A37" s="13"/>
      <c r="B37" s="13"/>
      <c r="C37" s="13"/>
      <c r="D37" s="13"/>
      <c r="E37" s="13"/>
      <c r="F37" s="172"/>
      <c r="G37" s="265"/>
      <c r="H37" s="173" t="s">
        <v>264</v>
      </c>
      <c r="I37" s="319"/>
      <c r="J37" s="331">
        <v>5.8799999999999998E-2</v>
      </c>
      <c r="K37" s="13"/>
      <c r="L37" s="13"/>
      <c r="M37" s="13"/>
    </row>
    <row r="38" spans="1:13" ht="16.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6.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6.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21" thickBot="1">
      <c r="A41" s="253" t="s">
        <v>171</v>
      </c>
      <c r="B41" s="13"/>
      <c r="G41" s="13"/>
      <c r="H41" s="13"/>
      <c r="I41" s="13"/>
      <c r="J41" s="13"/>
      <c r="K41" s="13"/>
      <c r="L41" s="13"/>
      <c r="M41" s="13"/>
    </row>
    <row r="42" spans="1:13" ht="24">
      <c r="A42" s="365" t="s">
        <v>472</v>
      </c>
      <c r="B42" s="365" t="s">
        <v>342</v>
      </c>
      <c r="C42" s="365" t="s">
        <v>402</v>
      </c>
      <c r="D42" s="369" t="s">
        <v>430</v>
      </c>
      <c r="E42" s="369" t="s">
        <v>431</v>
      </c>
      <c r="F42" s="13"/>
      <c r="G42" s="13"/>
      <c r="H42" s="13"/>
      <c r="I42" s="13"/>
      <c r="M42" s="13"/>
    </row>
    <row r="43" spans="1:13" ht="17.25">
      <c r="A43" s="258" t="s">
        <v>347</v>
      </c>
      <c r="B43" s="259">
        <v>1</v>
      </c>
      <c r="C43" s="260" t="s">
        <v>348</v>
      </c>
      <c r="D43" s="362">
        <v>5.3100000000000001E-2</v>
      </c>
      <c r="E43" s="362">
        <v>5.3100000000000001E-2</v>
      </c>
      <c r="F43" s="13"/>
      <c r="G43" s="13"/>
      <c r="H43" s="13"/>
      <c r="I43" s="13"/>
      <c r="M43" s="13"/>
    </row>
    <row r="44" spans="1:13" ht="17.25">
      <c r="A44" s="58" t="s">
        <v>349</v>
      </c>
      <c r="B44" s="254">
        <v>2</v>
      </c>
      <c r="C44" s="261" t="s">
        <v>330</v>
      </c>
      <c r="D44" s="362">
        <v>5.3100000000000001E-2</v>
      </c>
      <c r="E44" s="362">
        <v>5.3100000000000001E-2</v>
      </c>
      <c r="F44" s="13" t="s">
        <v>221</v>
      </c>
      <c r="H44" s="13"/>
      <c r="I44" s="13"/>
      <c r="M44" s="13"/>
    </row>
    <row r="45" spans="1:13" ht="17.25">
      <c r="A45" s="59" t="s">
        <v>350</v>
      </c>
      <c r="B45" s="256">
        <v>3</v>
      </c>
      <c r="C45" s="262" t="s">
        <v>351</v>
      </c>
      <c r="D45" s="362">
        <v>5.3100000000000001E-2</v>
      </c>
      <c r="E45" s="362">
        <v>5.3100000000000001E-2</v>
      </c>
      <c r="F45" s="13"/>
      <c r="H45" s="13"/>
      <c r="I45" s="13"/>
      <c r="M45" s="13"/>
    </row>
    <row r="46" spans="1:13" ht="17.25">
      <c r="A46" s="58" t="s">
        <v>170</v>
      </c>
      <c r="B46" s="254">
        <v>4</v>
      </c>
      <c r="C46" s="255" t="s">
        <v>331</v>
      </c>
      <c r="D46" s="362">
        <v>5.4899999999999997E-2</v>
      </c>
      <c r="E46" s="362">
        <v>5.57E-2</v>
      </c>
      <c r="F46" s="13"/>
      <c r="H46" s="13"/>
      <c r="I46" s="13"/>
      <c r="M46" s="13"/>
    </row>
    <row r="47" spans="1:13" ht="17.25">
      <c r="A47" s="58" t="s">
        <v>169</v>
      </c>
      <c r="B47" s="254">
        <v>5</v>
      </c>
      <c r="C47" s="255" t="s">
        <v>332</v>
      </c>
      <c r="D47" s="362">
        <v>5.4899999999999997E-2</v>
      </c>
      <c r="E47" s="362">
        <v>5.57E-2</v>
      </c>
      <c r="F47" s="13" t="s">
        <v>333</v>
      </c>
      <c r="H47" s="13"/>
      <c r="I47" s="13"/>
      <c r="M47" s="13"/>
    </row>
    <row r="48" spans="1:13" ht="17.25">
      <c r="A48" s="59" t="s">
        <v>168</v>
      </c>
      <c r="B48" s="256">
        <v>6</v>
      </c>
      <c r="C48" s="257" t="s">
        <v>196</v>
      </c>
      <c r="D48" s="362">
        <v>5.4899999999999997E-2</v>
      </c>
      <c r="E48" s="362">
        <v>5.57E-2</v>
      </c>
      <c r="F48" s="13"/>
      <c r="H48" s="13"/>
      <c r="I48" s="13"/>
      <c r="M48" s="13"/>
    </row>
    <row r="49" spans="1:13" ht="17.25">
      <c r="A49" s="58" t="s">
        <v>88</v>
      </c>
      <c r="B49" s="254">
        <v>7</v>
      </c>
      <c r="C49" s="255" t="s">
        <v>62</v>
      </c>
      <c r="D49" s="363">
        <v>5.6300000000000003E-2</v>
      </c>
      <c r="E49" s="363">
        <v>5.6800000000000003E-2</v>
      </c>
      <c r="H49" s="13"/>
      <c r="I49" s="13"/>
      <c r="M49" s="13"/>
    </row>
    <row r="50" spans="1:13" ht="17.25">
      <c r="A50" s="58" t="s">
        <v>167</v>
      </c>
      <c r="B50" s="254">
        <v>8</v>
      </c>
      <c r="C50" s="255" t="s">
        <v>24</v>
      </c>
      <c r="D50" s="363">
        <v>5.6300000000000003E-2</v>
      </c>
      <c r="E50" s="363">
        <v>5.6800000000000003E-2</v>
      </c>
      <c r="F50" s="13" t="s">
        <v>222</v>
      </c>
      <c r="H50" s="13"/>
      <c r="I50" s="13"/>
      <c r="J50" s="13"/>
      <c r="K50" s="13"/>
      <c r="L50" s="13"/>
      <c r="M50" s="13"/>
    </row>
    <row r="51" spans="1:13" ht="17.25">
      <c r="A51" s="59" t="s">
        <v>90</v>
      </c>
      <c r="B51" s="256">
        <v>9</v>
      </c>
      <c r="C51" s="257" t="s">
        <v>92</v>
      </c>
      <c r="D51" s="363">
        <v>5.6300000000000003E-2</v>
      </c>
      <c r="E51" s="363">
        <v>5.6800000000000003E-2</v>
      </c>
      <c r="F51" s="13"/>
      <c r="H51" s="13"/>
      <c r="I51" s="13"/>
      <c r="J51" s="13"/>
      <c r="K51" s="13"/>
      <c r="L51" s="13"/>
      <c r="M51" s="13"/>
    </row>
    <row r="52" spans="1:13" ht="17.25">
      <c r="A52" s="58" t="s">
        <v>83</v>
      </c>
      <c r="B52" s="254">
        <v>10</v>
      </c>
      <c r="C52" s="255" t="s">
        <v>85</v>
      </c>
      <c r="D52" s="363">
        <v>5.8999999999999997E-2</v>
      </c>
      <c r="E52" s="363">
        <v>5.8799999999999998E-2</v>
      </c>
      <c r="H52" s="13"/>
      <c r="I52" s="13"/>
      <c r="J52" s="13"/>
      <c r="K52" s="13"/>
      <c r="L52" s="13"/>
      <c r="M52" s="13"/>
    </row>
    <row r="53" spans="1:13" ht="17.25">
      <c r="A53" s="58" t="s">
        <v>84</v>
      </c>
      <c r="B53" s="254">
        <v>11</v>
      </c>
      <c r="C53" s="255" t="s">
        <v>86</v>
      </c>
      <c r="D53" s="363">
        <v>5.8999999999999997E-2</v>
      </c>
      <c r="E53" s="363">
        <v>5.8799999999999998E-2</v>
      </c>
      <c r="F53" s="13" t="s">
        <v>225</v>
      </c>
      <c r="H53" s="13"/>
      <c r="I53" s="13"/>
      <c r="J53" s="13"/>
      <c r="K53" s="13"/>
      <c r="L53" s="13"/>
      <c r="M53" s="13"/>
    </row>
    <row r="54" spans="1:13" ht="17.25">
      <c r="A54" s="59" t="s">
        <v>91</v>
      </c>
      <c r="B54" s="256">
        <v>12</v>
      </c>
      <c r="C54" s="257" t="s">
        <v>93</v>
      </c>
      <c r="D54" s="363">
        <v>5.8999999999999997E-2</v>
      </c>
      <c r="E54" s="363">
        <v>5.8799999999999998E-2</v>
      </c>
      <c r="F54" s="13"/>
      <c r="H54" s="13"/>
      <c r="I54" s="13"/>
      <c r="J54" s="13"/>
      <c r="K54" s="13"/>
      <c r="L54" s="13"/>
      <c r="M54" s="13"/>
    </row>
    <row r="55" spans="1:13" ht="17.25">
      <c r="A55" s="58" t="s">
        <v>89</v>
      </c>
      <c r="B55" s="254">
        <v>13</v>
      </c>
      <c r="C55" s="255" t="s">
        <v>334</v>
      </c>
      <c r="D55" s="362">
        <v>8.1299999999999997E-2</v>
      </c>
      <c r="E55" s="362">
        <v>8.14E-2</v>
      </c>
      <c r="H55" s="13"/>
      <c r="I55" s="13"/>
      <c r="J55" s="13"/>
      <c r="K55" s="13"/>
      <c r="L55" s="13"/>
      <c r="M55" s="13"/>
    </row>
    <row r="56" spans="1:13" ht="17.25">
      <c r="A56" s="58" t="s">
        <v>166</v>
      </c>
      <c r="B56" s="254">
        <v>14</v>
      </c>
      <c r="C56" s="255" t="s">
        <v>335</v>
      </c>
      <c r="D56" s="362">
        <v>8.1299999999999997E-2</v>
      </c>
      <c r="E56" s="362">
        <v>8.14E-2</v>
      </c>
      <c r="F56" s="13" t="s">
        <v>224</v>
      </c>
      <c r="H56" s="13"/>
      <c r="I56" s="13"/>
      <c r="J56" s="13"/>
      <c r="K56" s="13"/>
      <c r="L56" s="13"/>
      <c r="M56" s="13"/>
    </row>
    <row r="57" spans="1:13" ht="17.25">
      <c r="A57" s="59" t="s">
        <v>165</v>
      </c>
      <c r="B57" s="256">
        <v>15</v>
      </c>
      <c r="C57" s="257" t="s">
        <v>336</v>
      </c>
      <c r="D57" s="362">
        <v>8.1299999999999997E-2</v>
      </c>
      <c r="E57" s="362">
        <v>8.14E-2</v>
      </c>
      <c r="F57" s="13"/>
      <c r="H57" s="13"/>
      <c r="I57" s="13"/>
      <c r="J57" s="13"/>
      <c r="K57" s="13"/>
      <c r="L57" s="13"/>
      <c r="M57" s="13"/>
    </row>
    <row r="58" spans="1:13" ht="17.25">
      <c r="A58" s="58" t="s">
        <v>164</v>
      </c>
      <c r="B58" s="254">
        <v>16</v>
      </c>
      <c r="C58" s="255" t="s">
        <v>25</v>
      </c>
      <c r="D58" s="363">
        <v>8.9899999999999994E-2</v>
      </c>
      <c r="E58" s="363">
        <v>0.09</v>
      </c>
      <c r="H58" s="13"/>
      <c r="I58" s="13"/>
      <c r="J58" s="13"/>
      <c r="K58" s="13"/>
      <c r="L58" s="13"/>
      <c r="M58" s="13"/>
    </row>
    <row r="59" spans="1:13" ht="17.25">
      <c r="A59" s="58" t="s">
        <v>163</v>
      </c>
      <c r="B59" s="254">
        <v>17</v>
      </c>
      <c r="C59" s="255" t="s">
        <v>122</v>
      </c>
      <c r="D59" s="363">
        <v>8.9899999999999994E-2</v>
      </c>
      <c r="E59" s="363">
        <v>0.09</v>
      </c>
      <c r="F59" s="13" t="s">
        <v>223</v>
      </c>
      <c r="H59" s="13"/>
      <c r="I59" s="13"/>
      <c r="J59" s="13"/>
      <c r="K59" s="13"/>
      <c r="L59" s="13"/>
      <c r="M59" s="13"/>
    </row>
    <row r="60" spans="1:13" ht="17.25">
      <c r="A60" s="59" t="s">
        <v>162</v>
      </c>
      <c r="B60" s="256">
        <v>18</v>
      </c>
      <c r="C60" s="257" t="s">
        <v>337</v>
      </c>
      <c r="D60" s="363">
        <v>8.9899999999999994E-2</v>
      </c>
      <c r="E60" s="363">
        <v>0.09</v>
      </c>
      <c r="F60" s="13"/>
      <c r="H60" s="13"/>
      <c r="I60" s="13"/>
      <c r="J60" s="13"/>
      <c r="K60" s="13"/>
      <c r="L60" s="13"/>
      <c r="M60" s="13"/>
    </row>
    <row r="61" spans="1:13" ht="17.25">
      <c r="A61" s="58" t="s">
        <v>161</v>
      </c>
      <c r="B61" s="254">
        <v>19</v>
      </c>
      <c r="C61" s="255" t="s">
        <v>338</v>
      </c>
      <c r="D61" s="363">
        <v>9.8500000000000004E-2</v>
      </c>
      <c r="E61" s="363">
        <v>9.8599999999999993E-2</v>
      </c>
      <c r="H61" s="13"/>
      <c r="I61" s="13"/>
      <c r="J61" s="13"/>
      <c r="K61" s="13"/>
      <c r="L61" s="13"/>
      <c r="M61" s="13"/>
    </row>
    <row r="62" spans="1:13" ht="17.25">
      <c r="A62" s="58" t="s">
        <v>160</v>
      </c>
      <c r="B62" s="254">
        <v>20</v>
      </c>
      <c r="C62" s="255" t="s">
        <v>339</v>
      </c>
      <c r="D62" s="363">
        <v>9.8500000000000004E-2</v>
      </c>
      <c r="E62" s="363">
        <v>9.8599999999999993E-2</v>
      </c>
      <c r="F62" s="13" t="s">
        <v>220</v>
      </c>
      <c r="H62" s="13"/>
      <c r="I62" s="13"/>
      <c r="J62" s="13"/>
      <c r="K62" s="13"/>
      <c r="L62" s="13"/>
      <c r="M62" s="13"/>
    </row>
    <row r="63" spans="1:13" ht="17.25">
      <c r="A63" s="59" t="s">
        <v>159</v>
      </c>
      <c r="B63" s="256">
        <v>21</v>
      </c>
      <c r="C63" s="333" t="s">
        <v>340</v>
      </c>
      <c r="D63" s="363">
        <v>9.8500000000000004E-2</v>
      </c>
      <c r="E63" s="363">
        <v>9.8599999999999993E-2</v>
      </c>
      <c r="F63" s="13"/>
      <c r="H63" s="13"/>
      <c r="I63" s="13"/>
      <c r="J63" s="13"/>
      <c r="K63" s="13"/>
      <c r="L63" s="13"/>
    </row>
    <row r="64" spans="1:13" ht="17.25">
      <c r="A64" s="332" t="s">
        <v>352</v>
      </c>
      <c r="B64" s="335">
        <v>22</v>
      </c>
      <c r="C64" s="338" t="s">
        <v>353</v>
      </c>
      <c r="D64" s="363"/>
      <c r="E64" s="363"/>
    </row>
    <row r="65" spans="1:6" ht="17.25">
      <c r="A65" s="332" t="s">
        <v>354</v>
      </c>
      <c r="B65" s="336">
        <v>23</v>
      </c>
      <c r="C65" s="339" t="s">
        <v>341</v>
      </c>
      <c r="D65" s="363"/>
      <c r="E65" s="363"/>
      <c r="F65" s="13" t="s">
        <v>218</v>
      </c>
    </row>
    <row r="66" spans="1:6" ht="18" thickBot="1">
      <c r="A66" s="334" t="s">
        <v>355</v>
      </c>
      <c r="B66" s="337">
        <v>24</v>
      </c>
      <c r="C66" s="333" t="s">
        <v>356</v>
      </c>
      <c r="D66" s="363"/>
      <c r="E66" s="363"/>
      <c r="F66" s="13"/>
    </row>
    <row r="67" spans="1:6" ht="18" thickBot="1">
      <c r="A67" s="59" t="s">
        <v>281</v>
      </c>
      <c r="B67" s="256">
        <v>25</v>
      </c>
      <c r="C67" s="59" t="s">
        <v>123</v>
      </c>
      <c r="D67" s="364"/>
      <c r="E67" s="364"/>
      <c r="F67" s="13" t="s">
        <v>219</v>
      </c>
    </row>
  </sheetData>
  <pageMargins left="0.25" right="0.25" top="0.75" bottom="0.75" header="0.3" footer="0.3"/>
  <pageSetup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44"/>
  <sheetViews>
    <sheetView view="pageBreakPreview" topLeftCell="A4" zoomScale="60" zoomScaleNormal="80" workbookViewId="0">
      <selection activeCell="D4" sqref="D4"/>
    </sheetView>
  </sheetViews>
  <sheetFormatPr defaultRowHeight="15"/>
  <cols>
    <col min="1" max="1" width="48.85546875" customWidth="1"/>
    <col min="2" max="2" width="11.5703125" customWidth="1"/>
    <col min="3" max="3" width="19.85546875" customWidth="1"/>
    <col min="4" max="4" width="24.5703125" customWidth="1"/>
    <col min="5" max="5" width="22.5703125" customWidth="1"/>
    <col min="6" max="7" width="21.42578125" customWidth="1"/>
    <col min="8" max="8" width="14.85546875" customWidth="1"/>
    <col min="9" max="9" width="18.42578125" customWidth="1"/>
    <col min="10" max="10" width="21.42578125" customWidth="1"/>
    <col min="11" max="11" width="2.42578125" customWidth="1"/>
    <col min="12" max="12" width="22.5703125" customWidth="1"/>
    <col min="13" max="13" width="17.42578125" customWidth="1"/>
  </cols>
  <sheetData>
    <row r="1" spans="1:14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7.25">
      <c r="A2" s="63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6.5">
      <c r="A3" s="27" t="s">
        <v>475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6.5">
      <c r="A4" s="13"/>
      <c r="B4" s="13"/>
      <c r="C4" s="13"/>
      <c r="D4" s="463" t="s">
        <v>0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8" thickBot="1">
      <c r="A5" s="6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24" customHeight="1" thickBot="1">
      <c r="A6" s="242" t="str">
        <f>+'S&amp;D'!A12</f>
        <v>Electric Utilities</v>
      </c>
      <c r="B6" s="177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7.25">
      <c r="A7" s="6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8" thickBot="1">
      <c r="A8" s="63"/>
      <c r="B8" s="30"/>
      <c r="C8" s="30"/>
      <c r="D8" s="30"/>
      <c r="E8" s="30"/>
      <c r="F8" s="13"/>
      <c r="G8" s="13"/>
      <c r="H8" s="30"/>
      <c r="I8" s="30"/>
      <c r="J8" s="30"/>
      <c r="K8" s="30"/>
      <c r="L8" s="30"/>
      <c r="M8" s="30"/>
      <c r="N8" s="13"/>
    </row>
    <row r="9" spans="1:14" ht="26.25">
      <c r="B9" s="13"/>
      <c r="C9" s="13"/>
      <c r="D9" s="32" t="s">
        <v>318</v>
      </c>
      <c r="E9" s="13"/>
      <c r="F9" s="13"/>
      <c r="G9" s="13"/>
      <c r="H9" s="13"/>
      <c r="I9" s="13"/>
      <c r="J9" s="13"/>
      <c r="K9" s="69" t="s">
        <v>319</v>
      </c>
      <c r="L9" s="13"/>
      <c r="M9" s="13"/>
      <c r="N9" s="13"/>
    </row>
    <row r="10" spans="1:14" ht="21" thickBot="1">
      <c r="A10" s="31"/>
      <c r="B10" s="30"/>
      <c r="C10" s="30"/>
      <c r="D10" s="33" t="s">
        <v>488</v>
      </c>
      <c r="E10" s="30"/>
      <c r="F10" s="13"/>
      <c r="G10" s="13"/>
      <c r="H10" s="30"/>
      <c r="I10" s="30"/>
      <c r="J10" s="30"/>
      <c r="K10" s="33" t="s">
        <v>488</v>
      </c>
      <c r="L10" s="30"/>
      <c r="M10" s="30"/>
      <c r="N10" s="13"/>
    </row>
    <row r="11" spans="1:14" ht="17.25" thickBot="1">
      <c r="A11" s="34" t="s">
        <v>0</v>
      </c>
      <c r="B11" s="34" t="s">
        <v>0</v>
      </c>
      <c r="C11" s="34" t="s">
        <v>0</v>
      </c>
      <c r="D11" s="34" t="s">
        <v>0</v>
      </c>
      <c r="E11" s="34" t="s">
        <v>0</v>
      </c>
      <c r="F11" s="34" t="s">
        <v>0</v>
      </c>
      <c r="G11" s="41"/>
      <c r="H11" s="241"/>
      <c r="I11" s="34" t="s">
        <v>0</v>
      </c>
      <c r="J11" s="30"/>
      <c r="K11" s="30"/>
      <c r="L11" s="30"/>
      <c r="M11" s="30"/>
      <c r="N11" s="13"/>
    </row>
    <row r="12" spans="1:14" ht="16.5">
      <c r="A12" s="35" t="s">
        <v>0</v>
      </c>
      <c r="B12" s="35" t="s">
        <v>3</v>
      </c>
      <c r="C12" s="35" t="s">
        <v>0</v>
      </c>
      <c r="D12" s="35" t="s">
        <v>143</v>
      </c>
      <c r="E12" s="35" t="s">
        <v>143</v>
      </c>
      <c r="F12" s="35" t="s">
        <v>27</v>
      </c>
      <c r="G12" s="35"/>
      <c r="H12" s="35" t="s">
        <v>3</v>
      </c>
      <c r="I12" s="35" t="s">
        <v>0</v>
      </c>
      <c r="J12" s="35" t="s">
        <v>143</v>
      </c>
      <c r="K12" s="35"/>
      <c r="L12" s="35" t="s">
        <v>143</v>
      </c>
      <c r="M12" s="35" t="s">
        <v>27</v>
      </c>
      <c r="N12" s="13"/>
    </row>
    <row r="13" spans="1:14" ht="17.25" thickBot="1">
      <c r="A13" s="37" t="s">
        <v>2</v>
      </c>
      <c r="B13" s="37" t="s">
        <v>4</v>
      </c>
      <c r="C13" s="37" t="s">
        <v>28</v>
      </c>
      <c r="D13" s="37" t="s">
        <v>0</v>
      </c>
      <c r="E13" s="37" t="s">
        <v>29</v>
      </c>
      <c r="F13" s="37" t="s">
        <v>30</v>
      </c>
      <c r="G13" s="35"/>
      <c r="H13" s="37" t="s">
        <v>4</v>
      </c>
      <c r="I13" s="37" t="s">
        <v>28</v>
      </c>
      <c r="J13" s="37" t="s">
        <v>0</v>
      </c>
      <c r="K13" s="37"/>
      <c r="L13" s="37" t="s">
        <v>29</v>
      </c>
      <c r="M13" s="37" t="s">
        <v>30</v>
      </c>
      <c r="N13" s="13"/>
    </row>
    <row r="14" spans="1:14" ht="16.5">
      <c r="A14" s="39" t="s">
        <v>0</v>
      </c>
      <c r="B14" s="39" t="s">
        <v>0</v>
      </c>
      <c r="C14" s="40" t="s">
        <v>146</v>
      </c>
      <c r="D14" s="39" t="s">
        <v>147</v>
      </c>
      <c r="E14" s="39" t="s">
        <v>0</v>
      </c>
      <c r="F14" s="39" t="s">
        <v>0</v>
      </c>
      <c r="G14" s="41"/>
      <c r="H14" s="39" t="s">
        <v>0</v>
      </c>
      <c r="I14" s="40" t="s">
        <v>146</v>
      </c>
      <c r="J14" s="39" t="s">
        <v>148</v>
      </c>
      <c r="K14" s="39"/>
      <c r="L14" s="39" t="s">
        <v>0</v>
      </c>
      <c r="M14" s="39" t="s">
        <v>0</v>
      </c>
      <c r="N14" s="13"/>
    </row>
    <row r="15" spans="1:14" ht="16.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13"/>
    </row>
    <row r="16" spans="1:14" ht="16.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7.25">
      <c r="A17" s="44" t="s">
        <v>44</v>
      </c>
      <c r="B17" s="35" t="s">
        <v>53</v>
      </c>
      <c r="C17" s="60">
        <f>+'S&amp;D'!G22</f>
        <v>65.010000000000005</v>
      </c>
      <c r="D17" s="62">
        <v>6.75</v>
      </c>
      <c r="E17" s="70">
        <f t="shared" ref="E17:E31" si="0">C17/D17</f>
        <v>9.6311111111111121</v>
      </c>
      <c r="F17" s="57">
        <f t="shared" ref="F17:F31" si="1">1/E17</f>
        <v>0.10383017997231195</v>
      </c>
      <c r="G17" s="57"/>
      <c r="H17" s="35" t="str">
        <f t="shared" ref="H17:H31" si="2">+B17</f>
        <v>LNT</v>
      </c>
      <c r="I17" s="60">
        <f t="shared" ref="I17:I31" si="3">+C17</f>
        <v>65.010000000000005</v>
      </c>
      <c r="J17" s="62">
        <v>7</v>
      </c>
      <c r="K17" s="62"/>
      <c r="L17" s="70">
        <f t="shared" ref="L17:L31" si="4">I17/J17</f>
        <v>9.2871428571428574</v>
      </c>
      <c r="M17" s="57">
        <f t="shared" ref="M17:M31" si="5">1/L17</f>
        <v>0.10767574219350869</v>
      </c>
      <c r="N17" s="13"/>
    </row>
    <row r="18" spans="1:14" ht="17.25">
      <c r="A18" s="44" t="s">
        <v>45</v>
      </c>
      <c r="B18" s="35" t="s">
        <v>57</v>
      </c>
      <c r="C18" s="60">
        <f>+'S&amp;D'!G23</f>
        <v>99.86</v>
      </c>
      <c r="D18" s="62">
        <v>11.65</v>
      </c>
      <c r="E18" s="70">
        <f t="shared" si="0"/>
        <v>8.5716738197424895</v>
      </c>
      <c r="F18" s="57">
        <f t="shared" si="1"/>
        <v>0.11666332866012417</v>
      </c>
      <c r="G18" s="57"/>
      <c r="H18" s="35" t="str">
        <f t="shared" si="2"/>
        <v>AEE</v>
      </c>
      <c r="I18" s="60">
        <f t="shared" si="3"/>
        <v>99.86</v>
      </c>
      <c r="J18" s="62">
        <v>12.25</v>
      </c>
      <c r="K18" s="62"/>
      <c r="L18" s="70">
        <f t="shared" si="4"/>
        <v>8.1518367346938767</v>
      </c>
      <c r="M18" s="57">
        <f t="shared" si="5"/>
        <v>0.12267174043661126</v>
      </c>
      <c r="N18" s="13"/>
    </row>
    <row r="19" spans="1:14" ht="17.25">
      <c r="A19" s="44" t="s">
        <v>46</v>
      </c>
      <c r="B19" s="35" t="s">
        <v>58</v>
      </c>
      <c r="C19" s="60">
        <f>+'S&amp;D'!G24</f>
        <v>115.31</v>
      </c>
      <c r="D19" s="62">
        <v>12.8</v>
      </c>
      <c r="E19" s="70">
        <f>C19/D19</f>
        <v>9.0085937499999993</v>
      </c>
      <c r="F19" s="57">
        <f t="shared" si="1"/>
        <v>0.11100511664209523</v>
      </c>
      <c r="G19" s="57"/>
      <c r="H19" s="35" t="str">
        <f t="shared" si="2"/>
        <v>AEP</v>
      </c>
      <c r="I19" s="60">
        <f t="shared" si="3"/>
        <v>115.31</v>
      </c>
      <c r="J19" s="62">
        <v>13.5</v>
      </c>
      <c r="K19" s="62"/>
      <c r="L19" s="70">
        <f t="shared" si="4"/>
        <v>8.5414814814814815</v>
      </c>
      <c r="M19" s="57">
        <f t="shared" si="5"/>
        <v>0.1170757089584598</v>
      </c>
      <c r="N19" s="13"/>
    </row>
    <row r="20" spans="1:14" ht="17.25">
      <c r="A20" s="44" t="s">
        <v>47</v>
      </c>
      <c r="B20" s="35" t="s">
        <v>59</v>
      </c>
      <c r="C20" s="60">
        <f>+'S&amp;D'!G25</f>
        <v>38.340000000000003</v>
      </c>
      <c r="D20" s="62">
        <v>4.3499999999999996</v>
      </c>
      <c r="E20" s="70">
        <f t="shared" si="0"/>
        <v>8.8137931034482779</v>
      </c>
      <c r="F20" s="57">
        <f t="shared" si="1"/>
        <v>0.11345852895148667</v>
      </c>
      <c r="G20" s="57"/>
      <c r="H20" s="35" t="str">
        <f t="shared" si="2"/>
        <v>CNP</v>
      </c>
      <c r="I20" s="60">
        <f t="shared" si="3"/>
        <v>38.340000000000003</v>
      </c>
      <c r="J20" s="62">
        <v>4.6500000000000004</v>
      </c>
      <c r="K20" s="62"/>
      <c r="L20" s="70">
        <f t="shared" si="4"/>
        <v>8.2451612903225815</v>
      </c>
      <c r="M20" s="57">
        <f t="shared" si="5"/>
        <v>0.12128325508607198</v>
      </c>
      <c r="N20" s="13"/>
    </row>
    <row r="21" spans="1:14" ht="17.25">
      <c r="A21" s="44" t="s">
        <v>48</v>
      </c>
      <c r="B21" s="35" t="s">
        <v>54</v>
      </c>
      <c r="C21" s="60">
        <f>+'S&amp;D'!G26</f>
        <v>69.930000000000007</v>
      </c>
      <c r="D21" s="62">
        <v>8.1999999999999993</v>
      </c>
      <c r="E21" s="70">
        <f t="shared" si="0"/>
        <v>8.528048780487806</v>
      </c>
      <c r="F21" s="57">
        <f t="shared" si="1"/>
        <v>0.11726011726011724</v>
      </c>
      <c r="G21" s="57"/>
      <c r="H21" s="35" t="str">
        <f t="shared" si="2"/>
        <v>CMS</v>
      </c>
      <c r="I21" s="60">
        <f t="shared" si="3"/>
        <v>69.930000000000007</v>
      </c>
      <c r="J21" s="62">
        <v>8.65</v>
      </c>
      <c r="K21" s="62"/>
      <c r="L21" s="70">
        <f t="shared" si="4"/>
        <v>8.0843930635838159</v>
      </c>
      <c r="M21" s="57">
        <f t="shared" si="5"/>
        <v>0.12369512369512368</v>
      </c>
      <c r="N21" s="13"/>
    </row>
    <row r="22" spans="1:14" ht="17.25">
      <c r="A22" s="44" t="s">
        <v>49</v>
      </c>
      <c r="B22" s="35" t="s">
        <v>55</v>
      </c>
      <c r="C22" s="60">
        <f>+'S&amp;D'!G27</f>
        <v>128.97999999999999</v>
      </c>
      <c r="D22" s="62">
        <v>16.75</v>
      </c>
      <c r="E22" s="70">
        <f t="shared" si="0"/>
        <v>7.7002985074626862</v>
      </c>
      <c r="F22" s="57">
        <f t="shared" si="1"/>
        <v>0.12986509536362228</v>
      </c>
      <c r="G22" s="57"/>
      <c r="H22" s="35" t="str">
        <f t="shared" si="2"/>
        <v>DTE</v>
      </c>
      <c r="I22" s="60">
        <f t="shared" si="3"/>
        <v>128.97999999999999</v>
      </c>
      <c r="J22" s="62">
        <v>17.45</v>
      </c>
      <c r="K22" s="62"/>
      <c r="L22" s="70">
        <f t="shared" si="4"/>
        <v>7.3914040114613178</v>
      </c>
      <c r="M22" s="57">
        <f t="shared" si="5"/>
        <v>0.13529229337881843</v>
      </c>
      <c r="N22" s="13"/>
    </row>
    <row r="23" spans="1:14" ht="17.25">
      <c r="A23" s="44" t="s">
        <v>73</v>
      </c>
      <c r="B23" s="35" t="s">
        <v>66</v>
      </c>
      <c r="C23" s="60">
        <f>+'S&amp;D'!G28</f>
        <v>117.21</v>
      </c>
      <c r="D23" s="62">
        <v>15.75</v>
      </c>
      <c r="E23" s="70">
        <f t="shared" ref="E23" si="6">C23/D23</f>
        <v>7.4419047619047616</v>
      </c>
      <c r="F23" s="57">
        <f t="shared" ref="F23" si="7">1/E23</f>
        <v>0.13437420015357052</v>
      </c>
      <c r="G23" s="57"/>
      <c r="H23" s="35" t="str">
        <f t="shared" si="2"/>
        <v>DUK</v>
      </c>
      <c r="I23" s="60">
        <f t="shared" si="3"/>
        <v>117.21</v>
      </c>
      <c r="J23" s="62">
        <v>16.5</v>
      </c>
      <c r="K23" s="62"/>
      <c r="L23" s="70">
        <f t="shared" si="4"/>
        <v>7.1036363636363635</v>
      </c>
      <c r="M23" s="57">
        <f t="shared" si="5"/>
        <v>0.14077297158945482</v>
      </c>
      <c r="N23" s="13"/>
    </row>
    <row r="24" spans="1:14" ht="17.25">
      <c r="A24" s="44" t="s">
        <v>67</v>
      </c>
      <c r="B24" s="35" t="s">
        <v>68</v>
      </c>
      <c r="C24" s="60">
        <f>+'S&amp;D'!G29</f>
        <v>92.43</v>
      </c>
      <c r="D24" s="62">
        <v>9.9499999999999993</v>
      </c>
      <c r="E24" s="70">
        <f t="shared" ref="E24:E26" si="8">C24/D24</f>
        <v>9.2894472361809051</v>
      </c>
      <c r="F24" s="57">
        <f t="shared" ref="F24:F26" si="9">1/E24</f>
        <v>0.10764903169966461</v>
      </c>
      <c r="G24" s="57"/>
      <c r="H24" s="35" t="str">
        <f t="shared" si="2"/>
        <v>ETR</v>
      </c>
      <c r="I24" s="60">
        <f t="shared" si="3"/>
        <v>92.43</v>
      </c>
      <c r="J24" s="62">
        <v>10.6</v>
      </c>
      <c r="K24" s="62"/>
      <c r="L24" s="70">
        <f t="shared" si="4"/>
        <v>8.7198113207547188</v>
      </c>
      <c r="M24" s="57">
        <f t="shared" si="5"/>
        <v>0.11468138050416529</v>
      </c>
      <c r="N24" s="13"/>
    </row>
    <row r="25" spans="1:14" ht="17.25">
      <c r="A25" s="44" t="s">
        <v>282</v>
      </c>
      <c r="B25" s="35" t="s">
        <v>283</v>
      </c>
      <c r="C25" s="60">
        <f>+'S&amp;D'!G30</f>
        <v>72.489999999999995</v>
      </c>
      <c r="D25" s="62">
        <v>10.4</v>
      </c>
      <c r="E25" s="70">
        <f t="shared" ref="E25" si="10">C25/D25</f>
        <v>6.9701923076923071</v>
      </c>
      <c r="F25" s="57">
        <f t="shared" ref="F25" si="11">1/E25</f>
        <v>0.14346806456062908</v>
      </c>
      <c r="G25" s="57"/>
      <c r="H25" s="35" t="str">
        <f t="shared" si="2"/>
        <v>EVRG</v>
      </c>
      <c r="I25" s="60">
        <f t="shared" si="3"/>
        <v>72.489999999999995</v>
      </c>
      <c r="J25" s="62">
        <v>10.95</v>
      </c>
      <c r="K25" s="62"/>
      <c r="L25" s="70">
        <f t="shared" ref="L25" si="12">I25/J25</f>
        <v>6.6200913242009136</v>
      </c>
      <c r="M25" s="57">
        <f t="shared" ref="M25" si="13">1/L25</f>
        <v>0.15105531797489308</v>
      </c>
      <c r="N25" s="13"/>
    </row>
    <row r="26" spans="1:14" ht="17.25">
      <c r="A26" s="44" t="s">
        <v>77</v>
      </c>
      <c r="B26" s="35" t="s">
        <v>78</v>
      </c>
      <c r="C26" s="60">
        <f>+'S&amp;D'!G31</f>
        <v>44.77</v>
      </c>
      <c r="D26" s="62">
        <v>5.55</v>
      </c>
      <c r="E26" s="70">
        <f t="shared" si="8"/>
        <v>8.0666666666666682</v>
      </c>
      <c r="F26" s="57">
        <f t="shared" si="9"/>
        <v>0.12396694214876031</v>
      </c>
      <c r="G26" s="57"/>
      <c r="H26" s="35" t="str">
        <f t="shared" si="2"/>
        <v>FE</v>
      </c>
      <c r="I26" s="60">
        <f t="shared" si="3"/>
        <v>44.77</v>
      </c>
      <c r="J26" s="62">
        <v>5.9</v>
      </c>
      <c r="K26" s="62"/>
      <c r="L26" s="70">
        <f t="shared" si="4"/>
        <v>7.5881355932203389</v>
      </c>
      <c r="M26" s="57">
        <f t="shared" si="5"/>
        <v>0.13178467723922269</v>
      </c>
      <c r="N26" s="13"/>
    </row>
    <row r="27" spans="1:14" ht="17.25">
      <c r="A27" s="44" t="s">
        <v>50</v>
      </c>
      <c r="B27" s="35" t="s">
        <v>56</v>
      </c>
      <c r="C27" s="60">
        <f>+'S&amp;D'!G32</f>
        <v>42.7</v>
      </c>
      <c r="D27" s="62">
        <v>5.25</v>
      </c>
      <c r="E27" s="70">
        <f t="shared" si="0"/>
        <v>8.1333333333333346</v>
      </c>
      <c r="F27" s="57">
        <f t="shared" si="1"/>
        <v>0.12295081967213113</v>
      </c>
      <c r="G27" s="57"/>
      <c r="H27" s="35" t="str">
        <f t="shared" si="2"/>
        <v>OGE</v>
      </c>
      <c r="I27" s="60">
        <f t="shared" si="3"/>
        <v>42.7</v>
      </c>
      <c r="J27" s="62">
        <v>5.5</v>
      </c>
      <c r="K27" s="62"/>
      <c r="L27" s="70">
        <f t="shared" si="4"/>
        <v>7.7636363636363646</v>
      </c>
      <c r="M27" s="57">
        <f t="shared" si="5"/>
        <v>0.12880562060889927</v>
      </c>
      <c r="N27" s="13"/>
    </row>
    <row r="28" spans="1:14" ht="17.25">
      <c r="A28" s="44" t="s">
        <v>51</v>
      </c>
      <c r="B28" s="35" t="s">
        <v>60</v>
      </c>
      <c r="C28" s="60">
        <f>+'S&amp;D'!G33</f>
        <v>80.81</v>
      </c>
      <c r="D28" s="62">
        <v>8.5500000000000007</v>
      </c>
      <c r="E28" s="70">
        <f t="shared" si="0"/>
        <v>9.4514619883040929</v>
      </c>
      <c r="F28" s="57">
        <f t="shared" si="1"/>
        <v>0.10580373716124243</v>
      </c>
      <c r="G28" s="57"/>
      <c r="H28" s="35" t="str">
        <f t="shared" si="2"/>
        <v>OTTR</v>
      </c>
      <c r="I28" s="60">
        <f t="shared" si="3"/>
        <v>80.81</v>
      </c>
      <c r="J28" s="62">
        <v>8.5500000000000007</v>
      </c>
      <c r="K28" s="62"/>
      <c r="L28" s="70">
        <f t="shared" si="4"/>
        <v>9.4514619883040929</v>
      </c>
      <c r="M28" s="57">
        <f t="shared" si="5"/>
        <v>0.10580373716124243</v>
      </c>
      <c r="N28" s="13"/>
    </row>
    <row r="29" spans="1:14" ht="17.25">
      <c r="A29" s="44" t="s">
        <v>69</v>
      </c>
      <c r="B29" s="35" t="s">
        <v>70</v>
      </c>
      <c r="C29" s="60">
        <f>+'S&amp;D'!G34</f>
        <v>35.020000000000003</v>
      </c>
      <c r="D29" s="62">
        <v>3.8</v>
      </c>
      <c r="E29" s="70">
        <f t="shared" ref="E29" si="14">C29/D29</f>
        <v>9.215789473684211</v>
      </c>
      <c r="F29" s="57">
        <f t="shared" ref="F29" si="15">1/E29</f>
        <v>0.10850942318675043</v>
      </c>
      <c r="G29" s="57"/>
      <c r="H29" s="35" t="str">
        <f t="shared" si="2"/>
        <v>PPL</v>
      </c>
      <c r="I29" s="60">
        <f t="shared" si="3"/>
        <v>35.020000000000003</v>
      </c>
      <c r="J29" s="62">
        <v>3.95</v>
      </c>
      <c r="K29" s="62"/>
      <c r="L29" s="70">
        <f t="shared" si="4"/>
        <v>8.8658227848101276</v>
      </c>
      <c r="M29" s="57">
        <f t="shared" si="5"/>
        <v>0.11279268989149056</v>
      </c>
      <c r="N29" s="13"/>
    </row>
    <row r="30" spans="1:14" ht="17.25">
      <c r="A30" s="44" t="s">
        <v>71</v>
      </c>
      <c r="B30" s="35" t="s">
        <v>72</v>
      </c>
      <c r="C30" s="60">
        <f>+'S&amp;D'!G35</f>
        <v>87.2</v>
      </c>
      <c r="D30" s="62">
        <v>8.85</v>
      </c>
      <c r="E30" s="70">
        <f t="shared" ref="E30" si="16">C30/D30</f>
        <v>9.8531073446327699</v>
      </c>
      <c r="F30" s="57">
        <f t="shared" ref="F30" si="17">1/E30</f>
        <v>0.10149082568807338</v>
      </c>
      <c r="G30" s="57"/>
      <c r="H30" s="35" t="str">
        <f t="shared" si="2"/>
        <v>SO</v>
      </c>
      <c r="I30" s="60">
        <f t="shared" si="3"/>
        <v>87.2</v>
      </c>
      <c r="J30" s="62">
        <v>9.0500000000000007</v>
      </c>
      <c r="K30" s="62"/>
      <c r="L30" s="70">
        <f t="shared" si="4"/>
        <v>9.6353591160220997</v>
      </c>
      <c r="M30" s="57">
        <f t="shared" si="5"/>
        <v>0.10378440366972477</v>
      </c>
      <c r="N30" s="13"/>
    </row>
    <row r="31" spans="1:14" ht="17.25">
      <c r="A31" s="44" t="s">
        <v>52</v>
      </c>
      <c r="B31" s="35" t="s">
        <v>61</v>
      </c>
      <c r="C31" s="60">
        <f>+'S&amp;D'!G36</f>
        <v>105.46</v>
      </c>
      <c r="D31" s="62">
        <v>11.15</v>
      </c>
      <c r="E31" s="70">
        <f t="shared" si="0"/>
        <v>9.4582959641255595</v>
      </c>
      <c r="F31" s="57">
        <f t="shared" si="1"/>
        <v>0.1057272899677603</v>
      </c>
      <c r="G31" s="57"/>
      <c r="H31" s="35" t="str">
        <f t="shared" si="2"/>
        <v>WEC</v>
      </c>
      <c r="I31" s="60">
        <f t="shared" si="3"/>
        <v>105.46</v>
      </c>
      <c r="J31" s="62">
        <v>11.55</v>
      </c>
      <c r="K31" s="62"/>
      <c r="L31" s="70">
        <f t="shared" si="4"/>
        <v>9.1307359307359288</v>
      </c>
      <c r="M31" s="57">
        <f t="shared" si="5"/>
        <v>0.10952019723117772</v>
      </c>
      <c r="N31" s="13"/>
    </row>
    <row r="32" spans="1:14" ht="17.25" thickBot="1">
      <c r="A32" s="13"/>
      <c r="B32" s="71"/>
      <c r="C32" s="71"/>
      <c r="D32" s="71"/>
      <c r="E32" s="71"/>
      <c r="F32" s="71"/>
      <c r="G32" s="13"/>
      <c r="H32" s="71"/>
      <c r="I32" s="71"/>
      <c r="J32" s="71"/>
      <c r="K32" s="71"/>
      <c r="L32" s="71"/>
      <c r="M32" s="71"/>
      <c r="N32" s="13"/>
    </row>
    <row r="33" spans="1:14" ht="17.25" thickTop="1">
      <c r="A33" s="13"/>
      <c r="C33" s="15" t="s">
        <v>64</v>
      </c>
      <c r="D33" s="288">
        <f>MAX(D17:D31)</f>
        <v>16.75</v>
      </c>
      <c r="E33" s="288">
        <f>MAX(E17:E31)</f>
        <v>9.8531073446327699</v>
      </c>
      <c r="F33" s="275">
        <f>MAX(F17:F31)</f>
        <v>0.14346806456062908</v>
      </c>
      <c r="I33" s="15" t="s">
        <v>64</v>
      </c>
      <c r="J33" s="288">
        <f>MAX(J17:J31)</f>
        <v>17.45</v>
      </c>
      <c r="K33" s="288"/>
      <c r="L33" s="288">
        <f>MAX(L17:L31)</f>
        <v>9.6353591160220997</v>
      </c>
      <c r="M33" s="275">
        <f>MAX(M17:M31)</f>
        <v>0.15105531797489308</v>
      </c>
      <c r="N33" s="13"/>
    </row>
    <row r="34" spans="1:14" ht="16.5">
      <c r="A34" s="13"/>
      <c r="C34" s="15" t="s">
        <v>65</v>
      </c>
      <c r="D34" s="291">
        <f>MIN(D17:D31)</f>
        <v>3.8</v>
      </c>
      <c r="E34" s="291">
        <f>MIN(E17:E31)</f>
        <v>6.9701923076923071</v>
      </c>
      <c r="F34" s="276">
        <f>MIN(F17:F31)</f>
        <v>0.10149082568807338</v>
      </c>
      <c r="I34" s="15" t="s">
        <v>65</v>
      </c>
      <c r="J34" s="291">
        <f>MIN(J17:J31)</f>
        <v>3.95</v>
      </c>
      <c r="K34" s="291"/>
      <c r="L34" s="291">
        <f>MIN(L17:L31)</f>
        <v>6.6200913242009136</v>
      </c>
      <c r="M34" s="276">
        <f>MIN(M17:M31)</f>
        <v>0.10378440366972477</v>
      </c>
      <c r="N34" s="13"/>
    </row>
    <row r="35" spans="1:14" ht="16.5">
      <c r="A35" s="13"/>
      <c r="C35" s="15" t="s">
        <v>18</v>
      </c>
      <c r="D35" s="72">
        <f>MEDIAN(D17:D31)</f>
        <v>8.85</v>
      </c>
      <c r="E35" s="22">
        <f>MEDIAN(E17:E31)</f>
        <v>8.8137931034482779</v>
      </c>
      <c r="F35" s="57">
        <f>MEDIAN(F17:F31)</f>
        <v>0.11345852895148667</v>
      </c>
      <c r="I35" s="15" t="s">
        <v>18</v>
      </c>
      <c r="J35" s="72">
        <f>MEDIAN(J17:J31)</f>
        <v>9.0500000000000007</v>
      </c>
      <c r="K35" s="72"/>
      <c r="L35" s="22">
        <f>MEDIAN(L17:L31)</f>
        <v>8.2451612903225815</v>
      </c>
      <c r="M35" s="57">
        <f>MEDIAN(M17:M31)</f>
        <v>0.12128325508607198</v>
      </c>
      <c r="N35" s="13"/>
    </row>
    <row r="36" spans="1:14" ht="16.5">
      <c r="A36" s="13"/>
      <c r="C36" s="15" t="s">
        <v>400</v>
      </c>
      <c r="D36" s="18">
        <f>AVERAGE(D17:D31)</f>
        <v>9.3166666666666664</v>
      </c>
      <c r="E36" s="22">
        <f>AVERAGE(E17:E31)</f>
        <v>8.6755812099184659</v>
      </c>
      <c r="F36" s="73">
        <f>AVERAGE(F17:F31)</f>
        <v>0.11640151340588932</v>
      </c>
      <c r="I36" s="15" t="s">
        <v>400</v>
      </c>
      <c r="J36" s="18">
        <f>AVERAGE(J17:J31)</f>
        <v>9.7366666666666681</v>
      </c>
      <c r="K36" s="18"/>
      <c r="L36" s="22">
        <f>AVERAGE(L17:L31)</f>
        <v>8.3053406816004589</v>
      </c>
      <c r="M36" s="73">
        <f>AVERAGE(M17:M31)</f>
        <v>0.1217796573079243</v>
      </c>
      <c r="N36" s="13"/>
    </row>
    <row r="37" spans="1:14" ht="16.5">
      <c r="A37" s="13"/>
      <c r="B37" s="13"/>
      <c r="C37" s="13"/>
      <c r="D37" s="13"/>
      <c r="E37" s="13"/>
      <c r="F37" s="13"/>
      <c r="H37" s="13"/>
      <c r="I37" s="13"/>
      <c r="J37" s="13"/>
      <c r="K37" s="13"/>
      <c r="L37" s="13"/>
      <c r="M37" s="13"/>
      <c r="N37" s="13"/>
    </row>
    <row r="38" spans="1:14" ht="26.25">
      <c r="A38" s="13"/>
      <c r="B38" s="13"/>
      <c r="C38" s="13"/>
      <c r="D38" s="77" t="s">
        <v>107</v>
      </c>
      <c r="E38" s="340">
        <v>8.68</v>
      </c>
      <c r="F38" s="296">
        <v>0.1164</v>
      </c>
      <c r="H38" s="13"/>
      <c r="I38" s="13"/>
      <c r="J38" s="77" t="s">
        <v>107</v>
      </c>
      <c r="K38" s="49"/>
      <c r="L38" s="341">
        <v>8.31</v>
      </c>
      <c r="M38" s="296">
        <v>0.12180000000000001</v>
      </c>
      <c r="N38" s="13"/>
    </row>
    <row r="39" spans="1:14" ht="17.25" thickBot="1">
      <c r="A39" s="13"/>
      <c r="B39" s="13"/>
      <c r="C39" s="13"/>
      <c r="D39" s="13"/>
      <c r="E39" s="13"/>
      <c r="F39" s="74" t="s">
        <v>0</v>
      </c>
      <c r="G39" s="74"/>
      <c r="H39" s="13"/>
      <c r="I39" s="13"/>
      <c r="J39" s="13"/>
      <c r="K39" s="13"/>
      <c r="L39" s="13"/>
      <c r="M39" s="13"/>
      <c r="N39" s="13"/>
    </row>
    <row r="40" spans="1:14" ht="27" thickBot="1">
      <c r="A40" s="75" t="s">
        <v>0</v>
      </c>
      <c r="B40" s="13"/>
      <c r="C40" s="13"/>
      <c r="D40" s="13"/>
      <c r="E40" s="25" t="s">
        <v>152</v>
      </c>
      <c r="F40" s="25"/>
      <c r="G40" s="342">
        <f>(+E38+L38)/2</f>
        <v>8.495000000000001</v>
      </c>
      <c r="H40" s="331">
        <f>(+F38+M38)/2</f>
        <v>0.11910000000000001</v>
      </c>
      <c r="N40" s="13"/>
    </row>
    <row r="41" spans="1:14" ht="26.25">
      <c r="A41" s="75"/>
      <c r="B41" s="13"/>
      <c r="C41" s="13"/>
      <c r="D41" s="13"/>
      <c r="E41" s="25"/>
      <c r="F41" s="25"/>
      <c r="G41" s="298"/>
      <c r="H41" s="299"/>
      <c r="N41" s="13"/>
    </row>
    <row r="42" spans="1:14" ht="16.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6.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6.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>
    <tabColor rgb="FF92D050"/>
  </sheetPr>
  <dimension ref="A1:O75"/>
  <sheetViews>
    <sheetView view="pageBreakPreview" zoomScale="60" zoomScaleNormal="80" workbookViewId="0">
      <selection activeCell="E4" sqref="E4"/>
    </sheetView>
  </sheetViews>
  <sheetFormatPr defaultRowHeight="15"/>
  <cols>
    <col min="1" max="1" width="44.140625" customWidth="1"/>
    <col min="2" max="2" width="14.42578125" customWidth="1"/>
    <col min="3" max="3" width="12.42578125" bestFit="1" customWidth="1"/>
    <col min="4" max="4" width="23.5703125" customWidth="1"/>
    <col min="5" max="5" width="21.42578125" customWidth="1"/>
    <col min="6" max="6" width="19" customWidth="1"/>
    <col min="7" max="7" width="16.42578125" customWidth="1"/>
    <col min="8" max="10" width="19.42578125" customWidth="1"/>
    <col min="11" max="12" width="21.5703125" customWidth="1"/>
    <col min="13" max="13" width="18.42578125" customWidth="1"/>
  </cols>
  <sheetData>
    <row r="1" spans="1:15" ht="26.25">
      <c r="A1" s="25" t="s">
        <v>1</v>
      </c>
      <c r="B1" s="25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7.25">
      <c r="A2" s="63" t="s">
        <v>9</v>
      </c>
      <c r="B2" s="6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6.5">
      <c r="A3" s="27" t="s">
        <v>475</v>
      </c>
      <c r="B3" s="4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6.5">
      <c r="A4" s="13"/>
      <c r="B4" s="13"/>
      <c r="C4" s="13"/>
      <c r="D4" s="13"/>
      <c r="E4" s="463" t="s">
        <v>0</v>
      </c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8" thickBot="1">
      <c r="A5" s="63"/>
      <c r="B5" s="6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21" thickBot="1">
      <c r="A6" s="240" t="str">
        <f>+'S&amp;D'!A12</f>
        <v>Electric Utilities</v>
      </c>
      <c r="B6" s="24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8" thickBot="1">
      <c r="A7" s="63"/>
      <c r="B7" s="63"/>
      <c r="C7" s="30"/>
      <c r="D7" s="30"/>
      <c r="E7" s="30"/>
      <c r="F7" s="30"/>
      <c r="G7" s="30"/>
      <c r="H7" s="13"/>
      <c r="I7" s="30"/>
      <c r="J7" s="30"/>
      <c r="K7" s="30"/>
      <c r="L7" s="30"/>
      <c r="M7" s="30"/>
      <c r="N7" s="13"/>
      <c r="O7" s="13"/>
    </row>
    <row r="8" spans="1:15" ht="26.25">
      <c r="B8" s="31"/>
      <c r="C8" s="13"/>
      <c r="D8" s="13"/>
      <c r="E8" s="32" t="s">
        <v>257</v>
      </c>
      <c r="F8" s="13"/>
      <c r="G8" s="13"/>
      <c r="H8" s="13"/>
      <c r="I8" s="13"/>
      <c r="J8" s="13"/>
      <c r="K8" s="32" t="s">
        <v>258</v>
      </c>
      <c r="L8" s="13"/>
      <c r="M8" s="13"/>
      <c r="N8" s="13"/>
      <c r="O8" s="13"/>
    </row>
    <row r="9" spans="1:15" ht="21" thickBot="1">
      <c r="A9" s="31"/>
      <c r="B9" s="31"/>
      <c r="C9" s="30"/>
      <c r="D9" s="30"/>
      <c r="E9" s="33" t="s">
        <v>488</v>
      </c>
      <c r="F9" s="30"/>
      <c r="G9" s="30"/>
      <c r="H9" s="13"/>
      <c r="I9" s="30"/>
      <c r="J9" s="30"/>
      <c r="K9" s="33" t="s">
        <v>488</v>
      </c>
      <c r="L9" s="30"/>
      <c r="M9" s="30"/>
      <c r="N9" s="13"/>
      <c r="O9" s="13"/>
    </row>
    <row r="10" spans="1:15" ht="17.25" thickBot="1">
      <c r="A10" s="34" t="s">
        <v>0</v>
      </c>
      <c r="B10" s="34"/>
      <c r="C10" s="34" t="s">
        <v>0</v>
      </c>
      <c r="D10" s="34" t="s">
        <v>0</v>
      </c>
      <c r="E10" s="34" t="s">
        <v>0</v>
      </c>
      <c r="F10" s="34" t="s">
        <v>0</v>
      </c>
      <c r="G10" s="34" t="s">
        <v>0</v>
      </c>
      <c r="H10" s="13"/>
      <c r="I10" s="30"/>
      <c r="J10" s="30"/>
      <c r="K10" s="30"/>
      <c r="L10" s="30"/>
      <c r="M10" s="30"/>
      <c r="N10" s="13"/>
      <c r="O10" s="13"/>
    </row>
    <row r="11" spans="1:15" ht="16.5">
      <c r="A11" s="35" t="s">
        <v>0</v>
      </c>
      <c r="B11" s="35"/>
      <c r="C11" s="35" t="s">
        <v>3</v>
      </c>
      <c r="D11" s="35" t="s">
        <v>0</v>
      </c>
      <c r="E11" s="35" t="s">
        <v>144</v>
      </c>
      <c r="F11" s="35" t="s">
        <v>144</v>
      </c>
      <c r="G11" s="35" t="s">
        <v>27</v>
      </c>
      <c r="H11" s="13"/>
      <c r="I11" s="35" t="s">
        <v>3</v>
      </c>
      <c r="J11" s="35" t="s">
        <v>0</v>
      </c>
      <c r="K11" s="35" t="s">
        <v>144</v>
      </c>
      <c r="L11" s="35" t="s">
        <v>144</v>
      </c>
      <c r="M11" s="35" t="s">
        <v>27</v>
      </c>
      <c r="N11" s="13"/>
      <c r="O11" s="13"/>
    </row>
    <row r="12" spans="1:15" ht="17.25" thickBot="1">
      <c r="A12" s="37" t="s">
        <v>2</v>
      </c>
      <c r="B12" s="37"/>
      <c r="C12" s="37" t="s">
        <v>4</v>
      </c>
      <c r="D12" s="37" t="s">
        <v>28</v>
      </c>
      <c r="E12" s="37" t="s">
        <v>197</v>
      </c>
      <c r="F12" s="37" t="s">
        <v>29</v>
      </c>
      <c r="G12" s="37" t="s">
        <v>30</v>
      </c>
      <c r="H12" s="13"/>
      <c r="I12" s="37" t="s">
        <v>4</v>
      </c>
      <c r="J12" s="37" t="s">
        <v>28</v>
      </c>
      <c r="K12" s="37" t="s">
        <v>197</v>
      </c>
      <c r="L12" s="37" t="s">
        <v>29</v>
      </c>
      <c r="M12" s="37" t="s">
        <v>30</v>
      </c>
      <c r="N12" s="13"/>
      <c r="O12" s="13"/>
    </row>
    <row r="13" spans="1:15" ht="16.5">
      <c r="A13" s="39" t="s">
        <v>0</v>
      </c>
      <c r="B13" s="39"/>
      <c r="C13" s="39" t="s">
        <v>0</v>
      </c>
      <c r="D13" s="40" t="s">
        <v>146</v>
      </c>
      <c r="E13" s="76" t="s">
        <v>147</v>
      </c>
      <c r="F13" s="39" t="s">
        <v>0</v>
      </c>
      <c r="G13" s="39" t="s">
        <v>0</v>
      </c>
      <c r="H13" s="13"/>
      <c r="I13" s="39" t="s">
        <v>0</v>
      </c>
      <c r="J13" s="40" t="s">
        <v>146</v>
      </c>
      <c r="K13" s="76" t="s">
        <v>145</v>
      </c>
      <c r="L13" s="39" t="s">
        <v>0</v>
      </c>
      <c r="M13" s="39" t="s">
        <v>0</v>
      </c>
      <c r="N13" s="13"/>
      <c r="O13" s="13"/>
    </row>
    <row r="14" spans="1:15" ht="16.5">
      <c r="A14" s="35"/>
      <c r="B14" s="35"/>
      <c r="C14" s="35"/>
      <c r="D14" s="35"/>
      <c r="E14" s="35"/>
      <c r="F14" s="35"/>
      <c r="G14" s="35"/>
      <c r="H14" s="13"/>
      <c r="I14" s="35"/>
      <c r="J14" s="35"/>
      <c r="K14" s="35"/>
      <c r="L14" s="35"/>
      <c r="M14" s="35"/>
      <c r="N14" s="13"/>
      <c r="O14" s="13"/>
    </row>
    <row r="15" spans="1:15" ht="16.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17.25">
      <c r="A16" s="44" t="str">
        <f>+'S&amp;D'!A22</f>
        <v>Alliant Energy</v>
      </c>
      <c r="B16" s="44"/>
      <c r="C16" s="35" t="str">
        <f>+'S&amp;D'!B22</f>
        <v>LNT</v>
      </c>
      <c r="D16" s="60">
        <f>'S&amp;D'!G22</f>
        <v>65.010000000000005</v>
      </c>
      <c r="E16" s="62">
        <f>+Earnings!E16</f>
        <v>3.45</v>
      </c>
      <c r="F16" s="70">
        <f t="shared" ref="F16:F25" si="0">D16/E16</f>
        <v>18.843478260869567</v>
      </c>
      <c r="G16" s="57">
        <f t="shared" ref="G16:G25" si="1">1/F16</f>
        <v>5.3068758652514994E-2</v>
      </c>
      <c r="H16" s="13"/>
      <c r="I16" s="35" t="s">
        <v>53</v>
      </c>
      <c r="J16" s="60">
        <f t="shared" ref="J16:J25" si="2">+D16</f>
        <v>65.010000000000005</v>
      </c>
      <c r="K16" s="62">
        <f>+Earnings!G16</f>
        <v>3.7</v>
      </c>
      <c r="L16" s="70">
        <f t="shared" ref="L16:L25" si="3">J16/K16</f>
        <v>17.570270270270271</v>
      </c>
      <c r="M16" s="57">
        <f t="shared" ref="M16:M25" si="4">1/L16</f>
        <v>5.6914320873711732E-2</v>
      </c>
      <c r="N16" s="13"/>
      <c r="O16" s="13"/>
    </row>
    <row r="17" spans="1:15" ht="17.25">
      <c r="A17" s="44" t="str">
        <f>+'S&amp;D'!A23</f>
        <v>AMEREN Corporation</v>
      </c>
      <c r="B17" s="44"/>
      <c r="C17" s="35" t="str">
        <f>+'S&amp;D'!B23</f>
        <v>AEE</v>
      </c>
      <c r="D17" s="60">
        <f>'S&amp;D'!G23</f>
        <v>99.86</v>
      </c>
      <c r="E17" s="62">
        <f>+Earnings!E17</f>
        <v>5.35</v>
      </c>
      <c r="F17" s="70">
        <f t="shared" si="0"/>
        <v>18.665420560747666</v>
      </c>
      <c r="G17" s="57">
        <f t="shared" si="1"/>
        <v>5.3575005007009804E-2</v>
      </c>
      <c r="H17" s="13"/>
      <c r="I17" s="35" t="s">
        <v>57</v>
      </c>
      <c r="J17" s="60">
        <f t="shared" si="2"/>
        <v>99.86</v>
      </c>
      <c r="K17" s="62">
        <f>+Earnings!G17</f>
        <v>5.8</v>
      </c>
      <c r="L17" s="70">
        <f t="shared" si="3"/>
        <v>17.217241379310344</v>
      </c>
      <c r="M17" s="57">
        <f t="shared" si="4"/>
        <v>5.8081313839375127E-2</v>
      </c>
      <c r="N17" s="13"/>
      <c r="O17" s="13"/>
    </row>
    <row r="18" spans="1:15" ht="17.25">
      <c r="A18" s="44" t="str">
        <f>+'S&amp;D'!A24</f>
        <v>American Electric Power</v>
      </c>
      <c r="B18" s="44"/>
      <c r="C18" s="35" t="str">
        <f>+'S&amp;D'!B24</f>
        <v>AEP</v>
      </c>
      <c r="D18" s="60">
        <f>'S&amp;D'!G24</f>
        <v>115.31</v>
      </c>
      <c r="E18" s="62">
        <f>+Earnings!E18</f>
        <v>6.3</v>
      </c>
      <c r="F18" s="70">
        <f>D18/E18</f>
        <v>18.303174603174604</v>
      </c>
      <c r="G18" s="57">
        <f t="shared" si="1"/>
        <v>5.4635330847281241E-2</v>
      </c>
      <c r="H18" s="13"/>
      <c r="I18" s="35" t="s">
        <v>58</v>
      </c>
      <c r="J18" s="60">
        <f t="shared" si="2"/>
        <v>115.31</v>
      </c>
      <c r="K18" s="62">
        <f>+Earnings!G18</f>
        <v>6.8</v>
      </c>
      <c r="L18" s="70">
        <f t="shared" si="3"/>
        <v>16.95735294117647</v>
      </c>
      <c r="M18" s="57">
        <f t="shared" si="4"/>
        <v>5.8971468216113085E-2</v>
      </c>
      <c r="N18" s="13"/>
      <c r="O18" s="13"/>
    </row>
    <row r="19" spans="1:15" ht="17.25">
      <c r="A19" s="44" t="str">
        <f>+'S&amp;D'!A25</f>
        <v>Centerpoint Energy</v>
      </c>
      <c r="B19" s="44"/>
      <c r="C19" s="35" t="str">
        <f>+'S&amp;D'!B25</f>
        <v>CNP</v>
      </c>
      <c r="D19" s="60">
        <f>'S&amp;D'!G25</f>
        <v>38.340000000000003</v>
      </c>
      <c r="E19" s="62">
        <f>+Earnings!E19</f>
        <v>1.9</v>
      </c>
      <c r="F19" s="70">
        <f t="shared" si="0"/>
        <v>20.178947368421056</v>
      </c>
      <c r="G19" s="57">
        <f t="shared" si="1"/>
        <v>4.9556598852373492E-2</v>
      </c>
      <c r="H19" s="13"/>
      <c r="I19" s="35" t="s">
        <v>59</v>
      </c>
      <c r="J19" s="60">
        <f t="shared" si="2"/>
        <v>38.340000000000003</v>
      </c>
      <c r="K19" s="62">
        <f>+Earnings!G19</f>
        <v>2.1</v>
      </c>
      <c r="L19" s="70">
        <f t="shared" si="3"/>
        <v>18.257142857142856</v>
      </c>
      <c r="M19" s="57">
        <f t="shared" si="4"/>
        <v>5.4773082942097026E-2</v>
      </c>
      <c r="N19" s="13"/>
      <c r="O19" s="13"/>
    </row>
    <row r="20" spans="1:15" ht="17.25">
      <c r="A20" s="44" t="str">
        <f>+'S&amp;D'!A26</f>
        <v>CMS Energy</v>
      </c>
      <c r="B20" s="44"/>
      <c r="C20" s="35" t="str">
        <f>+'S&amp;D'!B26</f>
        <v>CMS</v>
      </c>
      <c r="D20" s="60">
        <f>'S&amp;D'!G26</f>
        <v>69.930000000000007</v>
      </c>
      <c r="E20" s="62">
        <f>+Earnings!E20</f>
        <v>3.8</v>
      </c>
      <c r="F20" s="70">
        <f t="shared" si="0"/>
        <v>18.402631578947371</v>
      </c>
      <c r="G20" s="57">
        <f t="shared" si="1"/>
        <v>5.4340054340054331E-2</v>
      </c>
      <c r="H20" s="13"/>
      <c r="I20" s="35" t="s">
        <v>54</v>
      </c>
      <c r="J20" s="60">
        <f t="shared" si="2"/>
        <v>69.930000000000007</v>
      </c>
      <c r="K20" s="62">
        <f>+Earnings!G20</f>
        <v>4.0999999999999996</v>
      </c>
      <c r="L20" s="70">
        <f t="shared" si="3"/>
        <v>17.056097560975612</v>
      </c>
      <c r="M20" s="57">
        <f t="shared" si="4"/>
        <v>5.8630058630058622E-2</v>
      </c>
      <c r="N20" s="13"/>
      <c r="O20" s="13"/>
    </row>
    <row r="21" spans="1:15" ht="17.25">
      <c r="A21" s="44" t="str">
        <f>+'S&amp;D'!A27</f>
        <v>DTE Energy</v>
      </c>
      <c r="B21" s="44"/>
      <c r="C21" s="35" t="str">
        <f>+'S&amp;D'!B27</f>
        <v>DTE</v>
      </c>
      <c r="D21" s="60">
        <f>'S&amp;D'!G27</f>
        <v>128.97999999999999</v>
      </c>
      <c r="E21" s="62">
        <f>+Earnings!E21</f>
        <v>7.7</v>
      </c>
      <c r="F21" s="70">
        <f t="shared" si="0"/>
        <v>16.750649350649351</v>
      </c>
      <c r="G21" s="57">
        <f t="shared" si="1"/>
        <v>5.9699178167157696E-2</v>
      </c>
      <c r="H21" s="13"/>
      <c r="I21" s="35" t="s">
        <v>55</v>
      </c>
      <c r="J21" s="60">
        <f t="shared" si="2"/>
        <v>128.97999999999999</v>
      </c>
      <c r="K21" s="62">
        <f>+Earnings!G21</f>
        <v>8.3000000000000007</v>
      </c>
      <c r="L21" s="70">
        <f t="shared" si="3"/>
        <v>15.539759036144575</v>
      </c>
      <c r="M21" s="57">
        <f t="shared" si="4"/>
        <v>6.435106218018298E-2</v>
      </c>
      <c r="N21" s="13"/>
      <c r="O21" s="13"/>
    </row>
    <row r="22" spans="1:15" ht="17.25">
      <c r="A22" s="44" t="str">
        <f>+'S&amp;D'!A28</f>
        <v>Duke Energy</v>
      </c>
      <c r="B22" s="44"/>
      <c r="C22" s="35" t="str">
        <f>+'S&amp;D'!B28</f>
        <v>DUK</v>
      </c>
      <c r="D22" s="60">
        <f>'S&amp;D'!G28</f>
        <v>117.21</v>
      </c>
      <c r="E22" s="62">
        <f>+Earnings!E22</f>
        <v>6.7</v>
      </c>
      <c r="F22" s="70">
        <f t="shared" si="0"/>
        <v>17.494029850746266</v>
      </c>
      <c r="G22" s="57">
        <f t="shared" si="1"/>
        <v>5.7162358160566515E-2</v>
      </c>
      <c r="H22" s="13"/>
      <c r="I22" s="35" t="s">
        <v>66</v>
      </c>
      <c r="J22" s="60">
        <f t="shared" si="2"/>
        <v>117.21</v>
      </c>
      <c r="K22" s="62">
        <f>+Earnings!G22</f>
        <v>7.1</v>
      </c>
      <c r="L22" s="70">
        <f t="shared" si="3"/>
        <v>16.508450704225353</v>
      </c>
      <c r="M22" s="57">
        <f t="shared" si="4"/>
        <v>6.0575036259704798E-2</v>
      </c>
      <c r="N22" s="13"/>
      <c r="O22" s="13"/>
    </row>
    <row r="23" spans="1:15" ht="17.25">
      <c r="A23" s="44" t="str">
        <f>+'S&amp;D'!A29</f>
        <v>Entergy Corp</v>
      </c>
      <c r="B23" s="44"/>
      <c r="C23" s="35" t="str">
        <f>+'S&amp;D'!B29</f>
        <v>ETR</v>
      </c>
      <c r="D23" s="60">
        <f>'S&amp;D'!G29</f>
        <v>92.43</v>
      </c>
      <c r="E23" s="62">
        <f>+Earnings!E23</f>
        <v>3.6</v>
      </c>
      <c r="F23" s="70">
        <f t="shared" si="0"/>
        <v>25.675000000000001</v>
      </c>
      <c r="G23" s="57">
        <f t="shared" si="1"/>
        <v>3.8948393378773122E-2</v>
      </c>
      <c r="H23" s="13"/>
      <c r="I23" s="35" t="s">
        <v>68</v>
      </c>
      <c r="J23" s="60">
        <f>+D23</f>
        <v>92.43</v>
      </c>
      <c r="K23" s="62">
        <f>+Earnings!G23</f>
        <v>3.9</v>
      </c>
      <c r="L23" s="70">
        <f>J23/K23</f>
        <v>23.700000000000003</v>
      </c>
      <c r="M23" s="57">
        <f t="shared" si="4"/>
        <v>4.2194092827004218E-2</v>
      </c>
      <c r="N23" s="13"/>
      <c r="O23" s="13"/>
    </row>
    <row r="24" spans="1:15" ht="17.25">
      <c r="A24" s="44" t="str">
        <f>+'S&amp;D'!A30</f>
        <v>Evergy Inc</v>
      </c>
      <c r="B24" s="44"/>
      <c r="C24" s="35" t="str">
        <f>+'S&amp;D'!B30</f>
        <v>EVRG</v>
      </c>
      <c r="D24" s="60">
        <f>'S&amp;D'!G30</f>
        <v>72.489999999999995</v>
      </c>
      <c r="E24" s="62">
        <f>+Earnings!E24</f>
        <v>4.25</v>
      </c>
      <c r="F24" s="70">
        <f t="shared" si="0"/>
        <v>17.056470588235292</v>
      </c>
      <c r="G24" s="57">
        <f t="shared" si="1"/>
        <v>5.8628776382949381E-2</v>
      </c>
      <c r="H24" s="13"/>
      <c r="I24" s="35" t="str">
        <f>+C24</f>
        <v>EVRG</v>
      </c>
      <c r="J24" s="60">
        <f>+D24</f>
        <v>72.489999999999995</v>
      </c>
      <c r="K24" s="62">
        <f>+Earnings!G24</f>
        <v>4.55</v>
      </c>
      <c r="L24" s="70">
        <f>J24/K24</f>
        <v>15.931868131868132</v>
      </c>
      <c r="M24" s="57">
        <f t="shared" ref="M24" si="5">1/L24</f>
        <v>6.2767278245275213E-2</v>
      </c>
      <c r="N24" s="13"/>
      <c r="O24" s="13"/>
    </row>
    <row r="25" spans="1:15" ht="17.25">
      <c r="A25" s="44" t="str">
        <f>+'S&amp;D'!A31</f>
        <v>FirstEnergy Corp</v>
      </c>
      <c r="B25" s="44"/>
      <c r="C25" s="35" t="str">
        <f>+'S&amp;D'!B31</f>
        <v>FE</v>
      </c>
      <c r="D25" s="60">
        <f>'S&amp;D'!G31</f>
        <v>44.77</v>
      </c>
      <c r="E25" s="62">
        <f>+Earnings!E25</f>
        <v>2.7</v>
      </c>
      <c r="F25" s="70">
        <f t="shared" si="0"/>
        <v>16.581481481481482</v>
      </c>
      <c r="G25" s="57">
        <f t="shared" si="1"/>
        <v>6.0308242126423939E-2</v>
      </c>
      <c r="H25" s="13"/>
      <c r="I25" s="35" t="s">
        <v>78</v>
      </c>
      <c r="J25" s="60">
        <f t="shared" si="2"/>
        <v>44.77</v>
      </c>
      <c r="K25" s="62">
        <f>+Earnings!G25</f>
        <v>2.9</v>
      </c>
      <c r="L25" s="70">
        <f t="shared" si="3"/>
        <v>15.43793103448276</v>
      </c>
      <c r="M25" s="57">
        <f t="shared" si="4"/>
        <v>6.4775519320973862E-2</v>
      </c>
      <c r="N25" s="13"/>
      <c r="O25" s="13"/>
    </row>
    <row r="26" spans="1:15" ht="17.25">
      <c r="A26" s="44" t="str">
        <f>+'S&amp;D'!A32</f>
        <v>OGE Energy Corp.</v>
      </c>
      <c r="B26" s="44"/>
      <c r="C26" s="35" t="str">
        <f>+'S&amp;D'!B32</f>
        <v>OGE</v>
      </c>
      <c r="D26" s="60">
        <f>'S&amp;D'!G32</f>
        <v>42.7</v>
      </c>
      <c r="E26" s="62">
        <f>+Earnings!E26</f>
        <v>2.4500000000000002</v>
      </c>
      <c r="F26" s="70">
        <f>D26/E26</f>
        <v>17.428571428571427</v>
      </c>
      <c r="G26" s="57">
        <f>1/F26</f>
        <v>5.7377049180327877E-2</v>
      </c>
      <c r="I26" s="35" t="s">
        <v>56</v>
      </c>
      <c r="J26" s="60">
        <f>+D26</f>
        <v>42.7</v>
      </c>
      <c r="K26" s="62">
        <f>+Earnings!G26</f>
        <v>2.6</v>
      </c>
      <c r="L26" s="70">
        <f>J26/K26</f>
        <v>16.423076923076923</v>
      </c>
      <c r="M26" s="57">
        <f>1/L26</f>
        <v>6.0889929742388757E-2</v>
      </c>
      <c r="N26" s="13"/>
      <c r="O26" s="13"/>
    </row>
    <row r="27" spans="1:15" ht="17.25">
      <c r="A27" s="44" t="str">
        <f>+'S&amp;D'!A33</f>
        <v>Otter Tail Corp</v>
      </c>
      <c r="B27" s="44"/>
      <c r="C27" s="35" t="str">
        <f>+'S&amp;D'!B33</f>
        <v>OTTR</v>
      </c>
      <c r="D27" s="60">
        <f>'S&amp;D'!G33</f>
        <v>80.81</v>
      </c>
      <c r="E27" s="62">
        <f>+Earnings!E27</f>
        <v>5.4</v>
      </c>
      <c r="F27" s="70">
        <f>D27/E27</f>
        <v>14.964814814814813</v>
      </c>
      <c r="G27" s="57">
        <f>1/F27</f>
        <v>6.6823412943942589E-2</v>
      </c>
      <c r="H27" s="13"/>
      <c r="I27" s="35" t="s">
        <v>60</v>
      </c>
      <c r="J27" s="60">
        <f>+D27</f>
        <v>80.81</v>
      </c>
      <c r="K27" s="62">
        <f>+Earnings!G27</f>
        <v>5.05</v>
      </c>
      <c r="L27" s="70">
        <f>J27/K27</f>
        <v>16.001980198019805</v>
      </c>
      <c r="M27" s="57">
        <f>1/L27</f>
        <v>6.2492265808687032E-2</v>
      </c>
      <c r="N27" s="13"/>
      <c r="O27" s="13"/>
    </row>
    <row r="28" spans="1:15" ht="17.25">
      <c r="A28" s="44" t="str">
        <f>+'S&amp;D'!A34</f>
        <v>PPL Corporation</v>
      </c>
      <c r="B28" s="44"/>
      <c r="C28" s="35" t="str">
        <f>+'S&amp;D'!B34</f>
        <v>PPL</v>
      </c>
      <c r="D28" s="60">
        <f>'S&amp;D'!G34</f>
        <v>35.020000000000003</v>
      </c>
      <c r="E28" s="62">
        <f>+Earnings!E28</f>
        <v>1.95</v>
      </c>
      <c r="F28" s="70">
        <f>D28/E28</f>
        <v>17.958974358974363</v>
      </c>
      <c r="G28" s="57">
        <f>1/F28</f>
        <v>5.5682467161621917E-2</v>
      </c>
      <c r="H28" s="13"/>
      <c r="I28" s="35" t="s">
        <v>70</v>
      </c>
      <c r="J28" s="60">
        <f>+D28</f>
        <v>35.020000000000003</v>
      </c>
      <c r="K28" s="62">
        <f>+Earnings!G28</f>
        <v>2.1</v>
      </c>
      <c r="L28" s="70">
        <f>J28/K28</f>
        <v>16.676190476190477</v>
      </c>
      <c r="M28" s="57">
        <f>1/L28</f>
        <v>5.9965733866362073E-2</v>
      </c>
      <c r="N28" s="13"/>
      <c r="O28" s="13"/>
    </row>
    <row r="29" spans="1:15" ht="17.25">
      <c r="A29" s="44" t="str">
        <f>+'S&amp;D'!A35</f>
        <v>The Southern Company</v>
      </c>
      <c r="B29" s="44"/>
      <c r="C29" s="35" t="str">
        <f>+'S&amp;D'!B35</f>
        <v>SO</v>
      </c>
      <c r="D29" s="60">
        <f>'S&amp;D'!G35</f>
        <v>87.2</v>
      </c>
      <c r="E29" s="62">
        <f>+Earnings!E29</f>
        <v>4.55</v>
      </c>
      <c r="F29" s="70">
        <f>D29/E29</f>
        <v>19.164835164835168</v>
      </c>
      <c r="G29" s="57">
        <f>1/F29</f>
        <v>5.21788990825688E-2</v>
      </c>
      <c r="H29" s="13"/>
      <c r="I29" s="35" t="s">
        <v>72</v>
      </c>
      <c r="J29" s="60">
        <f>+D29</f>
        <v>87.2</v>
      </c>
      <c r="K29" s="62">
        <f>+Earnings!G29</f>
        <v>4.8</v>
      </c>
      <c r="L29" s="70">
        <f>J29/K29</f>
        <v>18.166666666666668</v>
      </c>
      <c r="M29" s="57">
        <f>1/L29</f>
        <v>5.5045871559633024E-2</v>
      </c>
      <c r="N29" s="13"/>
      <c r="O29" s="13"/>
    </row>
    <row r="30" spans="1:15" ht="17.25">
      <c r="A30" s="44" t="str">
        <f>+'S&amp;D'!A36</f>
        <v>WEC Energy Group</v>
      </c>
      <c r="B30" s="44"/>
      <c r="C30" s="35" t="str">
        <f>+'S&amp;D'!B36</f>
        <v>WEC</v>
      </c>
      <c r="D30" s="60">
        <f>'S&amp;D'!G36</f>
        <v>105.46</v>
      </c>
      <c r="E30" s="62">
        <f>+Earnings!E30</f>
        <v>5.6</v>
      </c>
      <c r="F30" s="70">
        <f>D30/E30</f>
        <v>18.832142857142856</v>
      </c>
      <c r="G30" s="57">
        <f>1/F30</f>
        <v>5.3100701687843734E-2</v>
      </c>
      <c r="H30" s="13"/>
      <c r="I30" s="35" t="s">
        <v>61</v>
      </c>
      <c r="J30" s="60">
        <f>+D30</f>
        <v>105.46</v>
      </c>
      <c r="K30" s="62">
        <f>+Earnings!G30</f>
        <v>6</v>
      </c>
      <c r="L30" s="70">
        <f>J30/K30</f>
        <v>17.576666666666664</v>
      </c>
      <c r="M30" s="57">
        <f>1/L30</f>
        <v>5.6893608951261151E-2</v>
      </c>
      <c r="N30" s="13"/>
      <c r="O30" s="13"/>
    </row>
    <row r="31" spans="1:15" ht="18" thickBot="1">
      <c r="A31" s="13"/>
      <c r="B31" s="13"/>
      <c r="C31" s="71"/>
      <c r="D31" s="71"/>
      <c r="E31" s="71"/>
      <c r="F31" s="71"/>
      <c r="G31" s="71"/>
      <c r="H31" s="13"/>
      <c r="I31" s="71"/>
      <c r="J31" s="65" t="s">
        <v>0</v>
      </c>
      <c r="K31" s="71"/>
      <c r="L31" s="71"/>
      <c r="M31" s="71"/>
      <c r="N31" s="13"/>
      <c r="O31" s="13"/>
    </row>
    <row r="32" spans="1:15" ht="17.25" thickTop="1">
      <c r="A32" s="13"/>
      <c r="B32" s="13"/>
      <c r="D32" s="15" t="s">
        <v>64</v>
      </c>
      <c r="E32" s="288">
        <f>MAX(E16:E30)</f>
        <v>7.7</v>
      </c>
      <c r="F32" s="288">
        <f>MAX(F16:F30)</f>
        <v>25.675000000000001</v>
      </c>
      <c r="G32" s="275">
        <f>MAX(G16:G30)</f>
        <v>6.6823412943942589E-2</v>
      </c>
      <c r="H32" s="13"/>
      <c r="J32" s="15" t="s">
        <v>64</v>
      </c>
      <c r="K32" s="288">
        <f>MAX(K16:K30)</f>
        <v>8.3000000000000007</v>
      </c>
      <c r="L32" s="288">
        <f>MAX(L16:L30)</f>
        <v>23.700000000000003</v>
      </c>
      <c r="M32" s="275">
        <f>MAX(M16:M30)</f>
        <v>6.4775519320973862E-2</v>
      </c>
      <c r="N32" s="13"/>
      <c r="O32" s="13"/>
    </row>
    <row r="33" spans="1:15" ht="16.5">
      <c r="A33" s="13"/>
      <c r="B33" s="13"/>
      <c r="D33" s="266" t="s">
        <v>65</v>
      </c>
      <c r="E33" s="291">
        <f>MIN(E16:E30)</f>
        <v>1.9</v>
      </c>
      <c r="F33" s="291">
        <f>MIN(F16:F30)</f>
        <v>14.964814814814813</v>
      </c>
      <c r="G33" s="276">
        <f>MIN(G16:G30)</f>
        <v>3.8948393378773122E-2</v>
      </c>
      <c r="H33" s="13"/>
      <c r="J33" s="266" t="s">
        <v>65</v>
      </c>
      <c r="K33" s="291">
        <f>MIN(K16:K30)</f>
        <v>2.1</v>
      </c>
      <c r="L33" s="291">
        <f>MIN(L16:L30)</f>
        <v>15.43793103448276</v>
      </c>
      <c r="M33" s="276">
        <f>MIN(M16:M30)</f>
        <v>4.2194092827004218E-2</v>
      </c>
      <c r="N33" s="13"/>
      <c r="O33" s="13"/>
    </row>
    <row r="34" spans="1:15" ht="16.5">
      <c r="A34" s="13"/>
      <c r="B34" s="13"/>
      <c r="D34" s="15" t="s">
        <v>18</v>
      </c>
      <c r="E34" s="72">
        <f>MEDIAN(E16:E30)</f>
        <v>4.25</v>
      </c>
      <c r="F34" s="22">
        <f>MEDIAN(F16:F30)</f>
        <v>18.303174603174604</v>
      </c>
      <c r="G34" s="57">
        <f>MEDIAN(G16:G30)</f>
        <v>5.4635330847281241E-2</v>
      </c>
      <c r="H34" s="13"/>
      <c r="J34" s="15" t="s">
        <v>18</v>
      </c>
      <c r="K34" s="72">
        <f>MEDIAN(K16:K30)</f>
        <v>4.55</v>
      </c>
      <c r="L34" s="22">
        <f>MEDIAN(L16:L30)</f>
        <v>16.95735294117647</v>
      </c>
      <c r="M34" s="57">
        <f>MEDIAN(M16:M30)</f>
        <v>5.8971468216113085E-2</v>
      </c>
      <c r="N34" s="13"/>
      <c r="O34" s="13"/>
    </row>
    <row r="35" spans="1:15" ht="16.5">
      <c r="A35" s="13"/>
      <c r="B35" s="13"/>
      <c r="D35" s="15" t="s">
        <v>400</v>
      </c>
      <c r="E35" s="18">
        <f>AVERAGE(E16:E30)</f>
        <v>4.38</v>
      </c>
      <c r="F35" s="22">
        <f>AVERAGE(F16:F30)</f>
        <v>18.420041484507419</v>
      </c>
      <c r="G35" s="73">
        <f>AVERAGE(G16:G30)</f>
        <v>5.5005681731427301E-2</v>
      </c>
      <c r="H35" s="13"/>
      <c r="J35" s="15" t="s">
        <v>400</v>
      </c>
      <c r="K35" s="18">
        <f>AVERAGE(K16:K30)</f>
        <v>4.6533333333333324</v>
      </c>
      <c r="L35" s="22">
        <f>AVERAGE(L16:L30)</f>
        <v>17.268046323081126</v>
      </c>
      <c r="M35" s="73">
        <f>AVERAGE(M16:M30)</f>
        <v>5.848804288418858E-2</v>
      </c>
      <c r="N35" s="13"/>
      <c r="O35" s="13"/>
    </row>
    <row r="36" spans="1:15" ht="16.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ht="26.25">
      <c r="A37" s="13"/>
      <c r="B37" s="13"/>
      <c r="C37" s="13"/>
      <c r="D37" s="13"/>
      <c r="E37" s="77" t="s">
        <v>107</v>
      </c>
      <c r="F37" s="295">
        <v>18.420000000000002</v>
      </c>
      <c r="G37" s="296">
        <v>5.5E-2</v>
      </c>
      <c r="H37" s="13"/>
      <c r="I37" s="13"/>
      <c r="J37" s="13"/>
      <c r="K37" s="77" t="s">
        <v>107</v>
      </c>
      <c r="L37" s="297">
        <v>17.27</v>
      </c>
      <c r="M37" s="296">
        <v>5.8500000000000003E-2</v>
      </c>
      <c r="N37" s="13"/>
      <c r="O37" s="13"/>
    </row>
    <row r="38" spans="1:15" ht="16.5">
      <c r="A38" s="13"/>
      <c r="B38" s="13"/>
      <c r="C38" s="13"/>
      <c r="D38" s="13"/>
      <c r="E38" s="13"/>
      <c r="F38" s="13"/>
      <c r="K38" s="13"/>
      <c r="L38" s="13"/>
      <c r="M38" s="13"/>
      <c r="N38" s="13"/>
      <c r="O38" s="13"/>
    </row>
    <row r="39" spans="1:15" ht="16.5">
      <c r="A39" s="13"/>
      <c r="B39" s="13"/>
      <c r="C39" s="13"/>
      <c r="D39" s="13"/>
      <c r="E39" s="13"/>
      <c r="F39" s="13"/>
      <c r="K39" s="13"/>
      <c r="L39" s="13"/>
      <c r="M39" s="13"/>
      <c r="N39" s="13"/>
      <c r="O39" s="13"/>
    </row>
    <row r="40" spans="1:15" ht="17.25" thickBot="1">
      <c r="A40" s="13"/>
      <c r="B40" s="13"/>
      <c r="C40" s="13"/>
      <c r="D40" s="13"/>
      <c r="E40" s="13"/>
      <c r="F40" s="13"/>
      <c r="K40" s="13"/>
      <c r="L40" s="13"/>
      <c r="M40" s="13"/>
      <c r="N40" s="13"/>
      <c r="O40" s="13"/>
    </row>
    <row r="41" spans="1:15" ht="30.75" customHeight="1" thickBot="1">
      <c r="A41" s="75" t="s">
        <v>0</v>
      </c>
      <c r="B41" s="75"/>
      <c r="C41" s="13"/>
      <c r="D41" s="13"/>
      <c r="E41" s="13"/>
      <c r="F41" s="13"/>
      <c r="G41" s="25" t="s">
        <v>152</v>
      </c>
      <c r="H41" s="13"/>
      <c r="I41" s="200">
        <f>(+F37+L37)/2</f>
        <v>17.844999999999999</v>
      </c>
      <c r="J41" s="201">
        <f>(+G37+M37)/2</f>
        <v>5.6750000000000002E-2</v>
      </c>
      <c r="N41" s="13"/>
      <c r="O41" s="13"/>
    </row>
    <row r="42" spans="1:15" ht="16.5">
      <c r="A42" s="75" t="s">
        <v>0</v>
      </c>
      <c r="B42" s="75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6.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ht="16.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5.75" thickBot="1">
      <c r="B45" s="144"/>
      <c r="C45" s="144"/>
      <c r="D45" s="144"/>
      <c r="E45" s="144"/>
      <c r="F45" s="144"/>
      <c r="G45" s="144"/>
      <c r="H45" s="144"/>
    </row>
    <row r="46" spans="1:15" ht="26.25">
      <c r="B46" s="31"/>
      <c r="C46" s="13"/>
      <c r="D46" s="13"/>
      <c r="E46" s="32" t="s">
        <v>504</v>
      </c>
      <c r="F46" s="13"/>
      <c r="G46" s="13"/>
    </row>
    <row r="47" spans="1:15" ht="21" thickBot="1">
      <c r="A47" s="31"/>
      <c r="B47" s="145"/>
      <c r="C47" s="30"/>
      <c r="D47" s="30"/>
      <c r="E47" s="33" t="s">
        <v>488</v>
      </c>
      <c r="F47" s="30"/>
      <c r="G47" s="30"/>
      <c r="H47" s="144"/>
    </row>
    <row r="48" spans="1:15" ht="15.75" thickBot="1">
      <c r="A48" s="34" t="s">
        <v>0</v>
      </c>
      <c r="B48" s="34"/>
      <c r="C48" s="34" t="s">
        <v>0</v>
      </c>
      <c r="D48" s="34" t="s">
        <v>0</v>
      </c>
      <c r="E48" s="34" t="s">
        <v>0</v>
      </c>
      <c r="F48" s="34" t="s">
        <v>0</v>
      </c>
      <c r="G48" s="34" t="s">
        <v>0</v>
      </c>
    </row>
    <row r="49" spans="1:7" ht="16.5">
      <c r="A49" s="35" t="s">
        <v>0</v>
      </c>
      <c r="B49" s="35"/>
      <c r="C49" s="35" t="s">
        <v>3</v>
      </c>
      <c r="D49" s="35" t="s">
        <v>366</v>
      </c>
      <c r="E49" s="35" t="s">
        <v>367</v>
      </c>
      <c r="F49" s="35" t="s">
        <v>144</v>
      </c>
      <c r="G49" s="35" t="s">
        <v>27</v>
      </c>
    </row>
    <row r="50" spans="1:7" ht="17.25" thickBot="1">
      <c r="A50" s="37" t="s">
        <v>2</v>
      </c>
      <c r="B50" s="37"/>
      <c r="C50" s="37" t="s">
        <v>4</v>
      </c>
      <c r="D50" s="37" t="s">
        <v>28</v>
      </c>
      <c r="E50" s="37" t="s">
        <v>192</v>
      </c>
      <c r="F50" s="37" t="s">
        <v>29</v>
      </c>
      <c r="G50" s="37" t="s">
        <v>30</v>
      </c>
    </row>
    <row r="51" spans="1:7">
      <c r="A51" s="39" t="s">
        <v>0</v>
      </c>
      <c r="B51" s="39"/>
      <c r="C51" s="39" t="s">
        <v>0</v>
      </c>
      <c r="D51" s="40" t="s">
        <v>146</v>
      </c>
      <c r="E51" s="76" t="s">
        <v>263</v>
      </c>
      <c r="F51" s="39" t="s">
        <v>0</v>
      </c>
      <c r="G51" s="39" t="s">
        <v>0</v>
      </c>
    </row>
    <row r="52" spans="1:7" ht="16.5">
      <c r="A52" s="35"/>
      <c r="B52" s="35"/>
      <c r="C52" s="35"/>
      <c r="D52" s="35"/>
      <c r="E52" s="35"/>
      <c r="F52" s="35"/>
      <c r="G52" s="35"/>
    </row>
    <row r="53" spans="1:7" ht="16.5">
      <c r="A53" s="13"/>
      <c r="B53" s="13"/>
      <c r="C53" s="13"/>
      <c r="D53" s="13"/>
      <c r="E53" s="13"/>
      <c r="F53" s="13"/>
      <c r="G53" s="13"/>
    </row>
    <row r="54" spans="1:7" ht="17.25">
      <c r="A54" s="44" t="str">
        <f>+'S&amp;D'!A22</f>
        <v>Alliant Energy</v>
      </c>
      <c r="B54" s="44"/>
      <c r="C54" s="35" t="str">
        <f>+'S&amp;D'!B22</f>
        <v>LNT</v>
      </c>
      <c r="D54" s="60">
        <f>'S&amp;D'!G22</f>
        <v>65.010000000000005</v>
      </c>
      <c r="E54" s="62">
        <f>+Earnings!I16</f>
        <v>4.55</v>
      </c>
      <c r="F54" s="70">
        <f t="shared" ref="F54:F55" si="6">D54/E54</f>
        <v>14.28791208791209</v>
      </c>
      <c r="G54" s="57">
        <f t="shared" ref="G54:G68" si="7">1/F54</f>
        <v>6.9989232425780631E-2</v>
      </c>
    </row>
    <row r="55" spans="1:7" ht="17.25">
      <c r="A55" s="44" t="str">
        <f>+'S&amp;D'!A23</f>
        <v>AMEREN Corporation</v>
      </c>
      <c r="B55" s="44"/>
      <c r="C55" s="35" t="str">
        <f>+'S&amp;D'!B23</f>
        <v>AEE</v>
      </c>
      <c r="D55" s="60">
        <f>'S&amp;D'!G23</f>
        <v>99.86</v>
      </c>
      <c r="E55" s="62">
        <f>+Earnings!I17</f>
        <v>7.15</v>
      </c>
      <c r="F55" s="70">
        <f t="shared" si="6"/>
        <v>13.966433566433565</v>
      </c>
      <c r="G55" s="57">
        <f t="shared" si="7"/>
        <v>7.1600240336471069E-2</v>
      </c>
    </row>
    <row r="56" spans="1:7" ht="17.25">
      <c r="A56" s="44" t="str">
        <f>+'S&amp;D'!A24</f>
        <v>American Electric Power</v>
      </c>
      <c r="B56" s="44"/>
      <c r="C56" s="35" t="str">
        <f>+'S&amp;D'!B24</f>
        <v>AEP</v>
      </c>
      <c r="D56" s="60">
        <f>'S&amp;D'!G24</f>
        <v>115.31</v>
      </c>
      <c r="E56" s="62">
        <f>+Earnings!I18</f>
        <v>7.5</v>
      </c>
      <c r="F56" s="70">
        <f>D56/E56</f>
        <v>15.374666666666666</v>
      </c>
      <c r="G56" s="57">
        <f t="shared" si="7"/>
        <v>6.5042060532477672E-2</v>
      </c>
    </row>
    <row r="57" spans="1:7" ht="17.25">
      <c r="A57" s="44" t="str">
        <f>+'S&amp;D'!A25</f>
        <v>Centerpoint Energy</v>
      </c>
      <c r="B57" s="44"/>
      <c r="C57" s="35" t="str">
        <f>+'S&amp;D'!B25</f>
        <v>CNP</v>
      </c>
      <c r="D57" s="60">
        <f>'S&amp;D'!G25</f>
        <v>38.340000000000003</v>
      </c>
      <c r="E57" s="62">
        <f>+Earnings!I19</f>
        <v>2.4</v>
      </c>
      <c r="F57" s="70">
        <f t="shared" ref="F57:F68" si="8">D57/E57</f>
        <v>15.975000000000001</v>
      </c>
      <c r="G57" s="57">
        <f t="shared" si="7"/>
        <v>6.2597809076682304E-2</v>
      </c>
    </row>
    <row r="58" spans="1:7" ht="17.25">
      <c r="A58" s="44" t="str">
        <f>+'S&amp;D'!A26</f>
        <v>CMS Energy</v>
      </c>
      <c r="B58" s="44"/>
      <c r="C58" s="35" t="str">
        <f>+'S&amp;D'!B26</f>
        <v>CMS</v>
      </c>
      <c r="D58" s="60">
        <f>'S&amp;D'!G26</f>
        <v>69.930000000000007</v>
      </c>
      <c r="E58" s="62">
        <f>+Earnings!I20</f>
        <v>5.15</v>
      </c>
      <c r="F58" s="70">
        <f t="shared" si="8"/>
        <v>13.578640776699029</v>
      </c>
      <c r="G58" s="57">
        <f t="shared" si="7"/>
        <v>7.3645073645073653E-2</v>
      </c>
    </row>
    <row r="59" spans="1:7" ht="17.25">
      <c r="A59" s="44" t="str">
        <f>+'S&amp;D'!A27</f>
        <v>DTE Energy</v>
      </c>
      <c r="B59" s="44"/>
      <c r="C59" s="35" t="str">
        <f>+'S&amp;D'!B27</f>
        <v>DTE</v>
      </c>
      <c r="D59" s="60">
        <f>'S&amp;D'!G27</f>
        <v>128.97999999999999</v>
      </c>
      <c r="E59" s="62">
        <f>+Earnings!I21</f>
        <v>9.5</v>
      </c>
      <c r="F59" s="70">
        <f t="shared" si="8"/>
        <v>13.576842105263157</v>
      </c>
      <c r="G59" s="57">
        <f t="shared" si="7"/>
        <v>7.3654830206233521E-2</v>
      </c>
    </row>
    <row r="60" spans="1:7" ht="17.25">
      <c r="A60" s="44" t="str">
        <f>+'S&amp;D'!A28</f>
        <v>Duke Energy</v>
      </c>
      <c r="B60" s="44"/>
      <c r="C60" s="35" t="str">
        <f>+'S&amp;D'!B28</f>
        <v>DUK</v>
      </c>
      <c r="D60" s="60">
        <f>'S&amp;D'!G28</f>
        <v>117.21</v>
      </c>
      <c r="E60" s="62">
        <f>+Earnings!I22</f>
        <v>8.5</v>
      </c>
      <c r="F60" s="70">
        <f t="shared" si="8"/>
        <v>13.789411764705882</v>
      </c>
      <c r="G60" s="57">
        <f t="shared" si="7"/>
        <v>7.2519409606688845E-2</v>
      </c>
    </row>
    <row r="61" spans="1:7" ht="17.25">
      <c r="A61" s="44" t="str">
        <f>+'S&amp;D'!A29</f>
        <v>Entergy Corp</v>
      </c>
      <c r="B61" s="44"/>
      <c r="C61" s="35" t="str">
        <f>+'S&amp;D'!B29</f>
        <v>ETR</v>
      </c>
      <c r="D61" s="60">
        <f>'S&amp;D'!G29</f>
        <v>92.43</v>
      </c>
      <c r="E61" s="62">
        <f>+Earnings!I23</f>
        <v>4.3499999999999996</v>
      </c>
      <c r="F61" s="70">
        <f t="shared" si="8"/>
        <v>21.248275862068969</v>
      </c>
      <c r="G61" s="57">
        <f t="shared" si="7"/>
        <v>4.7062641999350854E-2</v>
      </c>
    </row>
    <row r="62" spans="1:7" ht="17.25">
      <c r="A62" s="44" t="str">
        <f>+'S&amp;D'!A30</f>
        <v>Evergy Inc</v>
      </c>
      <c r="B62" s="44"/>
      <c r="C62" s="35" t="str">
        <f>+'S&amp;D'!B30</f>
        <v>EVRG</v>
      </c>
      <c r="D62" s="60">
        <f>'S&amp;D'!G30</f>
        <v>72.489999999999995</v>
      </c>
      <c r="E62" s="62">
        <f>+Earnings!I24</f>
        <v>5.3</v>
      </c>
      <c r="F62" s="70">
        <f t="shared" si="8"/>
        <v>13.677358490566037</v>
      </c>
      <c r="G62" s="57">
        <f t="shared" si="7"/>
        <v>7.3113532901089809E-2</v>
      </c>
    </row>
    <row r="63" spans="1:7" ht="17.25">
      <c r="A63" s="44" t="str">
        <f>+'S&amp;D'!A31</f>
        <v>FirstEnergy Corp</v>
      </c>
      <c r="B63" s="44"/>
      <c r="C63" s="35" t="str">
        <f>+'S&amp;D'!B31</f>
        <v>FE</v>
      </c>
      <c r="D63" s="60">
        <f>'S&amp;D'!G31</f>
        <v>44.77</v>
      </c>
      <c r="E63" s="62">
        <f>+Earnings!I25</f>
        <v>3.6</v>
      </c>
      <c r="F63" s="70">
        <f t="shared" si="8"/>
        <v>12.436111111111112</v>
      </c>
      <c r="G63" s="57">
        <f t="shared" si="7"/>
        <v>8.0410989501898594E-2</v>
      </c>
    </row>
    <row r="64" spans="1:7" ht="17.25">
      <c r="A64" s="44" t="str">
        <f>+'S&amp;D'!A32</f>
        <v>OGE Energy Corp.</v>
      </c>
      <c r="B64" s="44"/>
      <c r="C64" s="35" t="str">
        <f>+'S&amp;D'!B32</f>
        <v>OGE</v>
      </c>
      <c r="D64" s="60">
        <f>'S&amp;D'!G32</f>
        <v>42.7</v>
      </c>
      <c r="E64" s="62">
        <f>+Earnings!I26</f>
        <v>3.15</v>
      </c>
      <c r="F64" s="70">
        <f t="shared" si="8"/>
        <v>13.555555555555557</v>
      </c>
      <c r="G64" s="57">
        <f t="shared" si="7"/>
        <v>7.3770491803278673E-2</v>
      </c>
    </row>
    <row r="65" spans="1:7" ht="17.25">
      <c r="A65" s="44" t="str">
        <f>+'S&amp;D'!A33</f>
        <v>Otter Tail Corp</v>
      </c>
      <c r="B65" s="44"/>
      <c r="C65" s="35" t="str">
        <f>+'S&amp;D'!B33</f>
        <v>OTTR</v>
      </c>
      <c r="D65" s="60">
        <f>'S&amp;D'!G33</f>
        <v>80.81</v>
      </c>
      <c r="E65" s="62">
        <f>+Earnings!I27</f>
        <v>6.5</v>
      </c>
      <c r="F65" s="70">
        <f t="shared" si="8"/>
        <v>12.432307692307692</v>
      </c>
      <c r="G65" s="57">
        <f t="shared" si="7"/>
        <v>8.0435589654745704E-2</v>
      </c>
    </row>
    <row r="66" spans="1:7" ht="17.25">
      <c r="A66" s="44" t="str">
        <f>+'S&amp;D'!A34</f>
        <v>PPL Corporation</v>
      </c>
      <c r="B66" s="44"/>
      <c r="C66" s="35" t="str">
        <f>+'S&amp;D'!B34</f>
        <v>PPL</v>
      </c>
      <c r="D66" s="60">
        <f>'S&amp;D'!G34</f>
        <v>35.020000000000003</v>
      </c>
      <c r="E66" s="62">
        <f>+Earnings!I28</f>
        <v>2.65</v>
      </c>
      <c r="F66" s="70">
        <f t="shared" si="8"/>
        <v>13.215094339622643</v>
      </c>
      <c r="G66" s="57">
        <f t="shared" si="7"/>
        <v>7.5671045117075939E-2</v>
      </c>
    </row>
    <row r="67" spans="1:7" ht="17.25">
      <c r="A67" s="44" t="str">
        <f>+'S&amp;D'!A35</f>
        <v>The Southern Company</v>
      </c>
      <c r="B67" s="44"/>
      <c r="C67" s="35" t="str">
        <f>+'S&amp;D'!B35</f>
        <v>SO</v>
      </c>
      <c r="D67" s="60">
        <f>'S&amp;D'!G35</f>
        <v>87.2</v>
      </c>
      <c r="E67" s="62">
        <f>+Earnings!I29</f>
        <v>6</v>
      </c>
      <c r="F67" s="70">
        <f t="shared" si="8"/>
        <v>14.533333333333333</v>
      </c>
      <c r="G67" s="57">
        <f t="shared" si="7"/>
        <v>6.8807339449541288E-2</v>
      </c>
    </row>
    <row r="68" spans="1:7" ht="17.25">
      <c r="A68" s="44" t="str">
        <f>+'S&amp;D'!A36</f>
        <v>WEC Energy Group</v>
      </c>
      <c r="B68" s="44"/>
      <c r="C68" s="35" t="str">
        <f>+'S&amp;D'!B36</f>
        <v>WEC</v>
      </c>
      <c r="D68" s="60">
        <f>'S&amp;D'!G36</f>
        <v>105.46</v>
      </c>
      <c r="E68" s="62">
        <f>+Earnings!I30</f>
        <v>7.25</v>
      </c>
      <c r="F68" s="70">
        <f t="shared" si="8"/>
        <v>14.546206896551723</v>
      </c>
      <c r="G68" s="57">
        <f t="shared" si="7"/>
        <v>6.8746444149440547E-2</v>
      </c>
    </row>
    <row r="69" spans="1:7" ht="17.25" thickBot="1">
      <c r="A69" s="13"/>
      <c r="B69" s="13"/>
      <c r="C69" s="71"/>
      <c r="D69" s="71"/>
      <c r="E69" s="71"/>
      <c r="F69" s="71"/>
      <c r="G69" s="71"/>
    </row>
    <row r="70" spans="1:7" ht="17.25" thickTop="1">
      <c r="A70" s="13"/>
      <c r="B70" s="13"/>
      <c r="D70" s="15" t="s">
        <v>64</v>
      </c>
      <c r="E70" s="288">
        <f>MAX(E54:E68)</f>
        <v>9.5</v>
      </c>
      <c r="F70" s="288">
        <f>MAX(F54:F68)</f>
        <v>21.248275862068969</v>
      </c>
      <c r="G70" s="275">
        <f>MAX(G54:G68)</f>
        <v>8.0435589654745704E-2</v>
      </c>
    </row>
    <row r="71" spans="1:7" ht="16.5">
      <c r="A71" s="13"/>
      <c r="B71" s="13"/>
      <c r="D71" s="15" t="s">
        <v>65</v>
      </c>
      <c r="E71" s="288">
        <f>MIN(E54:E68)</f>
        <v>2.4</v>
      </c>
      <c r="F71" s="288">
        <f>MIN(F54:F68)</f>
        <v>12.432307692307692</v>
      </c>
      <c r="G71" s="275">
        <f>MIN(G54:G68)</f>
        <v>4.7062641999350854E-2</v>
      </c>
    </row>
    <row r="72" spans="1:7" ht="16.5">
      <c r="A72" s="13"/>
      <c r="B72" s="13"/>
      <c r="D72" s="15" t="s">
        <v>18</v>
      </c>
      <c r="E72" s="72">
        <f>MEDIAN(E54:E68)</f>
        <v>5.3</v>
      </c>
      <c r="F72" s="22">
        <f>MEDIAN(F54:F68)</f>
        <v>13.789411764705882</v>
      </c>
      <c r="G72" s="57">
        <f>MEDIAN(G54:G68)</f>
        <v>7.2519409606688845E-2</v>
      </c>
    </row>
    <row r="73" spans="1:7" ht="16.5">
      <c r="A73" s="13"/>
      <c r="B73" s="13"/>
      <c r="D73" s="15" t="s">
        <v>400</v>
      </c>
      <c r="E73" s="18">
        <f>AVERAGE(E54:E68)</f>
        <v>5.5700000000000012</v>
      </c>
      <c r="F73" s="22">
        <f>AVERAGE(F54:F68)</f>
        <v>14.412876683253163</v>
      </c>
      <c r="G73" s="73">
        <f>AVERAGE(G54:G68)</f>
        <v>7.0471115360388609E-2</v>
      </c>
    </row>
    <row r="74" spans="1:7" ht="16.5">
      <c r="A74" s="13"/>
      <c r="B74" s="13"/>
      <c r="C74" s="13"/>
      <c r="D74" s="13"/>
      <c r="E74" s="13"/>
      <c r="F74" s="13"/>
      <c r="G74" s="13"/>
    </row>
    <row r="75" spans="1:7" ht="26.25">
      <c r="A75" s="13"/>
      <c r="B75" s="13"/>
      <c r="C75" s="13"/>
      <c r="D75" s="13"/>
      <c r="E75" s="49" t="s">
        <v>107</v>
      </c>
      <c r="F75" s="366">
        <v>14.41</v>
      </c>
      <c r="G75" s="367">
        <v>7.0499999999999993E-2</v>
      </c>
    </row>
  </sheetData>
  <pageMargins left="0.25" right="0.25" top="0.75" bottom="0.75" header="0.3" footer="0.3"/>
  <pageSetup scale="3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1B68-F78F-4F0B-B297-7DBEE2F24F41}">
  <sheetPr>
    <tabColor rgb="FF92D050"/>
    <pageSetUpPr fitToPage="1"/>
  </sheetPr>
  <dimension ref="A1:J85"/>
  <sheetViews>
    <sheetView view="pageBreakPreview" topLeftCell="A57" zoomScale="60" zoomScaleNormal="80" workbookViewId="0">
      <selection activeCell="A76" sqref="A76"/>
    </sheetView>
  </sheetViews>
  <sheetFormatPr defaultRowHeight="15"/>
  <cols>
    <col min="1" max="1" width="74.5703125" customWidth="1"/>
    <col min="2" max="2" width="21.5703125" customWidth="1"/>
    <col min="3" max="3" width="24.5703125" customWidth="1"/>
    <col min="4" max="4" width="29.42578125" customWidth="1"/>
    <col min="5" max="5" width="30.5703125" customWidth="1"/>
    <col min="6" max="6" width="32.140625" customWidth="1"/>
    <col min="7" max="7" width="27" customWidth="1"/>
    <col min="8" max="8" width="13.5703125" customWidth="1"/>
    <col min="9" max="9" width="13.85546875" customWidth="1"/>
    <col min="10" max="11" width="14.140625" bestFit="1" customWidth="1"/>
  </cols>
  <sheetData>
    <row r="1" spans="1:10" ht="26.25">
      <c r="A1" s="25" t="s">
        <v>1</v>
      </c>
      <c r="B1" s="25"/>
      <c r="C1" s="25"/>
      <c r="D1" s="13"/>
      <c r="E1" s="13"/>
      <c r="F1" s="13"/>
      <c r="G1" s="13"/>
      <c r="H1" s="13"/>
      <c r="I1" s="13"/>
      <c r="J1" s="13"/>
    </row>
    <row r="2" spans="1:10" ht="17.25">
      <c r="A2" s="26" t="s">
        <v>9</v>
      </c>
      <c r="B2" s="26"/>
      <c r="C2" s="26"/>
      <c r="D2" s="13"/>
      <c r="E2" s="13"/>
      <c r="F2" s="13"/>
      <c r="G2" s="13"/>
      <c r="H2" s="13"/>
      <c r="I2" s="13"/>
      <c r="J2" s="13"/>
    </row>
    <row r="3" spans="1:10" ht="16.5">
      <c r="A3" s="27" t="s">
        <v>475</v>
      </c>
      <c r="B3" s="27"/>
      <c r="C3" s="27"/>
      <c r="D3" s="13"/>
      <c r="E3" s="13"/>
      <c r="F3" s="13"/>
      <c r="G3" s="13"/>
      <c r="H3" s="13"/>
      <c r="I3" s="13"/>
      <c r="J3" s="13"/>
    </row>
    <row r="4" spans="1:10" ht="16.5">
      <c r="A4" s="27"/>
      <c r="B4" s="27"/>
      <c r="C4" s="27"/>
      <c r="D4" s="13"/>
      <c r="E4" s="13"/>
      <c r="F4" s="13"/>
      <c r="G4" s="13"/>
      <c r="H4" s="13"/>
      <c r="I4" s="13"/>
      <c r="J4" s="13"/>
    </row>
    <row r="5" spans="1:10" ht="17.25" thickBot="1">
      <c r="A5" s="13"/>
      <c r="B5" s="13"/>
      <c r="C5" s="13"/>
      <c r="D5" s="13"/>
      <c r="E5" s="13"/>
      <c r="F5" s="13"/>
      <c r="G5" s="13"/>
      <c r="H5" s="463" t="s">
        <v>0</v>
      </c>
      <c r="I5" s="28"/>
      <c r="J5" s="13"/>
    </row>
    <row r="6" spans="1:10" ht="21" thickBot="1">
      <c r="A6" s="29" t="str">
        <f>+'S&amp;D'!A12</f>
        <v>Electric Utilities</v>
      </c>
      <c r="B6" s="13"/>
      <c r="C6" s="13"/>
      <c r="D6" s="30"/>
      <c r="E6" s="30"/>
      <c r="F6" s="30"/>
      <c r="G6" s="13"/>
      <c r="H6" s="13"/>
      <c r="I6" s="13"/>
      <c r="J6" s="13"/>
    </row>
    <row r="7" spans="1:10" ht="26.25">
      <c r="B7" s="31"/>
      <c r="C7" s="31"/>
      <c r="D7" s="13"/>
      <c r="E7" s="32" t="s">
        <v>234</v>
      </c>
      <c r="F7" s="13"/>
      <c r="G7" s="13"/>
      <c r="H7" s="13"/>
      <c r="I7" s="13"/>
      <c r="J7" s="13"/>
    </row>
    <row r="8" spans="1:10" ht="21" thickBot="1">
      <c r="A8" s="31"/>
      <c r="B8" s="31"/>
      <c r="C8" s="31"/>
      <c r="D8" s="30"/>
      <c r="E8" s="33" t="s">
        <v>488</v>
      </c>
      <c r="F8" s="30"/>
      <c r="G8" s="13"/>
      <c r="H8" s="13"/>
      <c r="I8" s="13"/>
      <c r="J8" s="13"/>
    </row>
    <row r="9" spans="1:10" ht="20.25">
      <c r="A9" s="31"/>
      <c r="B9" s="31"/>
      <c r="C9" s="31"/>
      <c r="D9" s="13"/>
      <c r="E9" s="35"/>
      <c r="F9" s="13"/>
      <c r="G9" s="13"/>
      <c r="H9" s="13"/>
      <c r="I9" s="13"/>
      <c r="J9" s="13"/>
    </row>
    <row r="10" spans="1:10" ht="20.25">
      <c r="A10" s="31"/>
      <c r="B10" s="31"/>
      <c r="H10" s="13"/>
      <c r="I10" s="13"/>
      <c r="J10" s="13"/>
    </row>
    <row r="11" spans="1:10" ht="20.25">
      <c r="A11" s="31"/>
      <c r="B11" s="31"/>
      <c r="H11" s="13"/>
      <c r="I11" s="13"/>
      <c r="J11" s="13"/>
    </row>
    <row r="12" spans="1:10" ht="30" customHeight="1" thickBot="1">
      <c r="A12" s="31"/>
      <c r="B12" s="31"/>
      <c r="C12" t="s">
        <v>0</v>
      </c>
      <c r="H12" s="13"/>
      <c r="I12" s="13"/>
      <c r="J12" s="13"/>
    </row>
    <row r="13" spans="1:10" ht="26.25" customHeight="1" thickBot="1">
      <c r="A13" s="153" t="s">
        <v>249</v>
      </c>
      <c r="B13" s="13" t="s">
        <v>0</v>
      </c>
      <c r="C13" s="13"/>
      <c r="D13" s="13"/>
      <c r="E13" s="13"/>
      <c r="F13" s="13"/>
      <c r="G13" s="13"/>
      <c r="H13" s="13"/>
      <c r="I13" s="13"/>
      <c r="J13" s="13"/>
    </row>
    <row r="14" spans="1:10" ht="42" customHeight="1" thickBot="1">
      <c r="A14" s="152" t="s">
        <v>247</v>
      </c>
      <c r="B14" s="151" t="s">
        <v>238</v>
      </c>
      <c r="C14" s="150" t="s">
        <v>250</v>
      </c>
      <c r="D14" s="151" t="s">
        <v>240</v>
      </c>
      <c r="E14" s="151" t="s">
        <v>394</v>
      </c>
      <c r="F14" s="149" t="s">
        <v>239</v>
      </c>
      <c r="G14" s="13"/>
      <c r="H14" s="13"/>
      <c r="I14" s="13"/>
      <c r="J14" s="13"/>
    </row>
    <row r="15" spans="1:10" ht="16.5">
      <c r="A15" s="146"/>
      <c r="B15" s="114"/>
      <c r="C15" s="114"/>
      <c r="D15" s="114"/>
      <c r="E15" s="114"/>
      <c r="F15" s="147"/>
      <c r="G15" s="13"/>
      <c r="H15" s="13"/>
      <c r="I15" s="13"/>
      <c r="J15" s="13"/>
    </row>
    <row r="16" spans="1:10" ht="17.25">
      <c r="A16" s="178" t="s">
        <v>467</v>
      </c>
      <c r="B16" s="191">
        <v>2.9399999999999999E-2</v>
      </c>
      <c r="C16" s="188">
        <f>+'Beta for CAPM'!H38</f>
        <v>0.77</v>
      </c>
      <c r="D16" s="179">
        <f>+B16*C16</f>
        <v>2.2637999999999998E-2</v>
      </c>
      <c r="E16" s="179">
        <f>+'Growth &amp; Inflation Rates'!$G$24</f>
        <v>4.8099999999999997E-2</v>
      </c>
      <c r="F16" s="180">
        <f>+D16+E16</f>
        <v>7.0737999999999995E-2</v>
      </c>
      <c r="G16" s="13"/>
      <c r="H16" s="13"/>
      <c r="I16" s="13"/>
      <c r="J16" s="13"/>
    </row>
    <row r="17" spans="1:10" ht="17.25">
      <c r="A17" s="178" t="s">
        <v>468</v>
      </c>
      <c r="B17" s="191">
        <v>2.98E-2</v>
      </c>
      <c r="C17" s="188">
        <f>+C16</f>
        <v>0.77</v>
      </c>
      <c r="D17" s="179">
        <f t="shared" ref="D17:D33" si="0">+B17*C17</f>
        <v>2.2946000000000001E-2</v>
      </c>
      <c r="E17" s="179">
        <f>+'Growth &amp; Inflation Rates'!$G$24</f>
        <v>4.8099999999999997E-2</v>
      </c>
      <c r="F17" s="180">
        <f>+D17+E17</f>
        <v>7.1045999999999998E-2</v>
      </c>
      <c r="G17" s="13"/>
      <c r="H17" s="13"/>
      <c r="I17" s="13"/>
      <c r="J17" s="13"/>
    </row>
    <row r="18" spans="1:10" ht="17.25">
      <c r="A18" s="181"/>
      <c r="B18" s="110"/>
      <c r="C18" s="110"/>
      <c r="D18" s="179"/>
      <c r="E18" s="110"/>
      <c r="F18" s="182"/>
      <c r="G18" s="13"/>
      <c r="H18" s="13"/>
      <c r="I18" s="13"/>
      <c r="J18" s="13"/>
    </row>
    <row r="19" spans="1:10" ht="17.25">
      <c r="A19" s="178" t="s">
        <v>415</v>
      </c>
      <c r="B19" s="191">
        <v>4.2299999999999997E-2</v>
      </c>
      <c r="C19" s="188">
        <f>+C16</f>
        <v>0.77</v>
      </c>
      <c r="D19" s="179">
        <f t="shared" si="0"/>
        <v>3.2570999999999996E-2</v>
      </c>
      <c r="E19" s="179">
        <f>+'Growth &amp; Inflation Rates'!$G$24</f>
        <v>4.8099999999999997E-2</v>
      </c>
      <c r="F19" s="180">
        <f>+D19+E19</f>
        <v>8.0670999999999993E-2</v>
      </c>
      <c r="G19" s="13"/>
      <c r="H19" s="13"/>
      <c r="I19" s="13"/>
      <c r="J19" s="13"/>
    </row>
    <row r="20" spans="1:10" ht="17.25">
      <c r="A20" s="178" t="s">
        <v>425</v>
      </c>
      <c r="B20" s="191">
        <v>6.1800000000000001E-2</v>
      </c>
      <c r="C20" s="188">
        <f>+C16</f>
        <v>0.77</v>
      </c>
      <c r="D20" s="179">
        <f t="shared" si="0"/>
        <v>4.7586000000000003E-2</v>
      </c>
      <c r="E20" s="179">
        <f>+'Growth &amp; Inflation Rates'!$G$24</f>
        <v>4.8099999999999997E-2</v>
      </c>
      <c r="F20" s="180">
        <f>+D20+E20</f>
        <v>9.5685999999999993E-2</v>
      </c>
      <c r="G20" s="13"/>
      <c r="H20" s="13"/>
      <c r="I20" s="13"/>
      <c r="J20" s="13"/>
    </row>
    <row r="21" spans="1:10" ht="17.25">
      <c r="A21" s="178" t="s">
        <v>413</v>
      </c>
      <c r="B21" s="191">
        <v>3.9600000000000003E-2</v>
      </c>
      <c r="C21" s="188">
        <f>+C16</f>
        <v>0.77</v>
      </c>
      <c r="D21" s="179">
        <f t="shared" si="0"/>
        <v>3.0492000000000002E-2</v>
      </c>
      <c r="E21" s="179">
        <f>+'Growth &amp; Inflation Rates'!$G$24</f>
        <v>4.8099999999999997E-2</v>
      </c>
      <c r="F21" s="180">
        <f t="shared" ref="F21:F22" si="1">+D21+E21</f>
        <v>7.8591999999999995E-2</v>
      </c>
      <c r="G21" s="13"/>
      <c r="H21" s="13"/>
      <c r="I21" s="13"/>
      <c r="J21" s="13"/>
    </row>
    <row r="22" spans="1:10" ht="17.25">
      <c r="A22" s="178" t="s">
        <v>414</v>
      </c>
      <c r="B22" s="191">
        <v>3.6200000000000003E-2</v>
      </c>
      <c r="C22" s="188">
        <f>+C16</f>
        <v>0.77</v>
      </c>
      <c r="D22" s="179">
        <f t="shared" si="0"/>
        <v>2.7874000000000003E-2</v>
      </c>
      <c r="E22" s="179">
        <f>+'Growth &amp; Inflation Rates'!$G$24</f>
        <v>4.8099999999999997E-2</v>
      </c>
      <c r="F22" s="180">
        <f t="shared" si="1"/>
        <v>7.5974E-2</v>
      </c>
      <c r="G22" s="13"/>
      <c r="H22" s="13"/>
      <c r="I22" s="13"/>
      <c r="J22" s="13"/>
    </row>
    <row r="23" spans="1:10" ht="17.25">
      <c r="A23" s="178" t="s">
        <v>0</v>
      </c>
      <c r="B23" s="191"/>
      <c r="C23" s="189" t="s">
        <v>0</v>
      </c>
      <c r="D23" s="179"/>
      <c r="E23" s="179" t="s">
        <v>0</v>
      </c>
      <c r="F23" s="180" t="s">
        <v>0</v>
      </c>
      <c r="G23" s="13"/>
      <c r="H23" s="13"/>
      <c r="I23" s="13"/>
      <c r="J23" s="13"/>
    </row>
    <row r="24" spans="1:10" ht="17.25">
      <c r="A24" s="178" t="s">
        <v>243</v>
      </c>
      <c r="B24" s="191">
        <v>5.6099999999999997E-2</v>
      </c>
      <c r="C24" s="188">
        <f>+C16</f>
        <v>0.77</v>
      </c>
      <c r="D24" s="179">
        <f t="shared" si="0"/>
        <v>4.3196999999999999E-2</v>
      </c>
      <c r="E24" s="179">
        <f>+'Growth &amp; Inflation Rates'!$G$24</f>
        <v>4.8099999999999997E-2</v>
      </c>
      <c r="F24" s="180">
        <f>+D24+E24</f>
        <v>9.1296999999999989E-2</v>
      </c>
      <c r="G24" s="13"/>
      <c r="H24" s="13"/>
      <c r="I24" s="13"/>
      <c r="J24" s="13"/>
    </row>
    <row r="25" spans="1:10" ht="17.25">
      <c r="A25" s="178" t="s">
        <v>0</v>
      </c>
      <c r="B25" s="191"/>
      <c r="C25" s="189" t="s">
        <v>0</v>
      </c>
      <c r="D25" s="179"/>
      <c r="E25" s="179" t="s">
        <v>0</v>
      </c>
      <c r="F25" s="180" t="s">
        <v>0</v>
      </c>
      <c r="G25" s="13"/>
      <c r="H25" s="13"/>
      <c r="I25" s="13"/>
      <c r="J25" s="13"/>
    </row>
    <row r="26" spans="1:10" ht="17.25">
      <c r="A26" s="178" t="s">
        <v>426</v>
      </c>
      <c r="B26" s="191">
        <v>5.5E-2</v>
      </c>
      <c r="C26" s="188">
        <f>+C16</f>
        <v>0.77</v>
      </c>
      <c r="D26" s="179">
        <f t="shared" si="0"/>
        <v>4.2349999999999999E-2</v>
      </c>
      <c r="E26" s="179">
        <f>+'Growth &amp; Inflation Rates'!$G$24</f>
        <v>4.8099999999999997E-2</v>
      </c>
      <c r="F26" s="180">
        <f>+D26+E26</f>
        <v>9.0450000000000003E-2</v>
      </c>
      <c r="G26" s="13"/>
      <c r="H26" s="13"/>
      <c r="I26" s="13"/>
      <c r="J26" s="13"/>
    </row>
    <row r="27" spans="1:10" ht="17.25">
      <c r="A27" s="178" t="s">
        <v>0</v>
      </c>
      <c r="B27" s="191"/>
      <c r="C27" s="189" t="s">
        <v>0</v>
      </c>
      <c r="D27" s="179"/>
      <c r="E27" s="179" t="s">
        <v>0</v>
      </c>
      <c r="F27" s="180" t="s">
        <v>0</v>
      </c>
      <c r="G27" s="13"/>
      <c r="H27" s="13"/>
      <c r="I27" s="13"/>
      <c r="J27" s="13"/>
    </row>
    <row r="28" spans="1:10" ht="17.25">
      <c r="A28" s="178" t="s">
        <v>244</v>
      </c>
      <c r="B28" s="191">
        <v>6.7799999999999999E-2</v>
      </c>
      <c r="C28" s="188">
        <f>+C16</f>
        <v>0.77</v>
      </c>
      <c r="D28" s="179">
        <f t="shared" si="0"/>
        <v>5.2206000000000002E-2</v>
      </c>
      <c r="E28" s="179">
        <f>+'Growth &amp; Inflation Rates'!$G$24</f>
        <v>4.8099999999999997E-2</v>
      </c>
      <c r="F28" s="180">
        <f>+D28+E28</f>
        <v>0.10030600000000001</v>
      </c>
      <c r="G28" s="13"/>
      <c r="H28" s="13"/>
      <c r="I28" s="13"/>
      <c r="J28" s="13"/>
    </row>
    <row r="29" spans="1:10" ht="17.25">
      <c r="A29" s="178" t="s">
        <v>245</v>
      </c>
      <c r="B29" s="191">
        <v>5.5399999999999998E-2</v>
      </c>
      <c r="C29" s="188">
        <f>+C16</f>
        <v>0.77</v>
      </c>
      <c r="D29" s="179">
        <f t="shared" si="0"/>
        <v>4.2658000000000001E-2</v>
      </c>
      <c r="E29" s="179">
        <f>+'Growth &amp; Inflation Rates'!$G$24</f>
        <v>4.8099999999999997E-2</v>
      </c>
      <c r="F29" s="180">
        <f>+D29+E29</f>
        <v>9.0758000000000005E-2</v>
      </c>
      <c r="G29" s="13"/>
      <c r="H29" s="13"/>
      <c r="I29" s="13"/>
      <c r="J29" s="13"/>
    </row>
    <row r="30" spans="1:10" ht="17.25">
      <c r="A30" s="178"/>
      <c r="B30" s="191"/>
      <c r="C30" s="188"/>
      <c r="D30" s="179"/>
      <c r="E30" s="179"/>
      <c r="F30" s="180"/>
      <c r="G30" s="13"/>
      <c r="H30" s="13"/>
      <c r="I30" s="13"/>
      <c r="J30" s="13"/>
    </row>
    <row r="31" spans="1:10" ht="17.25">
      <c r="A31" s="178" t="s">
        <v>416</v>
      </c>
      <c r="B31" s="191">
        <v>7.3700000000000002E-2</v>
      </c>
      <c r="C31" s="188">
        <f>+C16</f>
        <v>0.77</v>
      </c>
      <c r="D31" s="179">
        <f t="shared" si="0"/>
        <v>5.6749000000000001E-2</v>
      </c>
      <c r="E31" s="179">
        <f>+'Growth &amp; Inflation Rates'!$G$24</f>
        <v>4.8099999999999997E-2</v>
      </c>
      <c r="F31" s="180">
        <f>+D31+E31</f>
        <v>0.104849</v>
      </c>
      <c r="G31" s="13"/>
      <c r="H31" s="13"/>
      <c r="I31" s="13"/>
      <c r="J31" s="13"/>
    </row>
    <row r="32" spans="1:10" ht="17.25">
      <c r="A32" s="178" t="s">
        <v>417</v>
      </c>
      <c r="B32" s="191">
        <v>6.3100000000000003E-2</v>
      </c>
      <c r="C32" s="188">
        <f>+C17</f>
        <v>0.77</v>
      </c>
      <c r="D32" s="179">
        <f t="shared" si="0"/>
        <v>4.8587000000000005E-2</v>
      </c>
      <c r="E32" s="179">
        <f>+'Growth &amp; Inflation Rates'!$G$24</f>
        <v>4.8099999999999997E-2</v>
      </c>
      <c r="F32" s="180">
        <f>+D32+E32</f>
        <v>9.6686999999999995E-2</v>
      </c>
      <c r="G32" s="13"/>
      <c r="H32" s="13"/>
      <c r="I32" s="13"/>
      <c r="J32" s="13"/>
    </row>
    <row r="33" spans="1:10" ht="17.25">
      <c r="A33" s="178" t="s">
        <v>418</v>
      </c>
      <c r="B33" s="191">
        <v>0.05</v>
      </c>
      <c r="C33" s="188">
        <f>+C16</f>
        <v>0.77</v>
      </c>
      <c r="D33" s="179">
        <f t="shared" si="0"/>
        <v>3.8500000000000006E-2</v>
      </c>
      <c r="E33" s="179">
        <f>+'Growth &amp; Inflation Rates'!$G$24</f>
        <v>4.8099999999999997E-2</v>
      </c>
      <c r="F33" s="180">
        <f>+D33+E33</f>
        <v>8.660000000000001E-2</v>
      </c>
      <c r="G33" s="13"/>
      <c r="H33" s="13"/>
      <c r="I33" s="13"/>
      <c r="J33" s="13"/>
    </row>
    <row r="34" spans="1:10" ht="17.25">
      <c r="A34" s="178"/>
      <c r="B34" s="191"/>
      <c r="C34" s="188"/>
      <c r="D34" s="179"/>
      <c r="E34" s="179"/>
      <c r="F34" s="180"/>
      <c r="G34" s="13"/>
      <c r="H34" s="13"/>
      <c r="I34" s="13"/>
      <c r="J34" s="13"/>
    </row>
    <row r="35" spans="1:10" ht="17.25">
      <c r="A35" s="351" t="s">
        <v>0</v>
      </c>
      <c r="B35" s="349" t="s">
        <v>0</v>
      </c>
      <c r="C35" s="188" t="s">
        <v>0</v>
      </c>
      <c r="D35" s="179" t="s">
        <v>0</v>
      </c>
      <c r="E35" s="179" t="s">
        <v>0</v>
      </c>
      <c r="F35" s="180" t="s">
        <v>0</v>
      </c>
      <c r="G35" s="13"/>
      <c r="H35" s="13"/>
      <c r="I35" s="13"/>
      <c r="J35" s="13"/>
    </row>
    <row r="36" spans="1:10" ht="17.25" thickBot="1">
      <c r="A36" s="320"/>
      <c r="B36" s="30"/>
      <c r="C36" s="30"/>
      <c r="D36" s="30"/>
      <c r="E36" s="30"/>
      <c r="F36" s="321"/>
      <c r="G36" s="13"/>
      <c r="H36" s="13"/>
      <c r="I36" s="13"/>
      <c r="J36" s="13"/>
    </row>
    <row r="37" spans="1:10" ht="16.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27" customHeight="1" thickBot="1">
      <c r="A38" s="13"/>
      <c r="B38" s="13"/>
      <c r="C38" s="13"/>
      <c r="D38" s="13"/>
      <c r="E38" s="13"/>
      <c r="F38" s="13"/>
      <c r="G38" s="13" t="s">
        <v>0</v>
      </c>
      <c r="H38" s="13"/>
      <c r="I38" s="13"/>
      <c r="J38" s="13"/>
    </row>
    <row r="39" spans="1:10" ht="18" thickBot="1">
      <c r="A39" s="153" t="s">
        <v>248</v>
      </c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41.25" thickBot="1">
      <c r="A40" s="152" t="s">
        <v>246</v>
      </c>
      <c r="B40" s="151" t="s">
        <v>238</v>
      </c>
      <c r="C40" s="150" t="s">
        <v>250</v>
      </c>
      <c r="D40" s="151" t="s">
        <v>241</v>
      </c>
      <c r="E40" s="151" t="s">
        <v>242</v>
      </c>
      <c r="F40" s="151" t="s">
        <v>394</v>
      </c>
      <c r="G40" s="149" t="s">
        <v>239</v>
      </c>
      <c r="H40" s="13"/>
      <c r="I40" s="13"/>
      <c r="J40" s="13"/>
    </row>
    <row r="41" spans="1:10" ht="16.5">
      <c r="A41" s="146"/>
      <c r="B41" s="114"/>
      <c r="C41" s="114"/>
      <c r="D41" s="114"/>
      <c r="E41" s="114"/>
      <c r="F41" s="114"/>
      <c r="G41" s="147"/>
      <c r="H41" s="13"/>
      <c r="I41" s="13"/>
      <c r="J41" s="13"/>
    </row>
    <row r="42" spans="1:10" ht="17.25">
      <c r="A42" s="178" t="str">
        <f t="shared" ref="A42:C43" si="2">+A16</f>
        <v>Three Stage Ex Ante  Version 1  (1)</v>
      </c>
      <c r="B42" s="191">
        <f t="shared" si="2"/>
        <v>2.9399999999999999E-2</v>
      </c>
      <c r="C42" s="187">
        <f t="shared" si="2"/>
        <v>0.77</v>
      </c>
      <c r="D42" s="179">
        <f>+B42*C42*0.75</f>
        <v>1.6978500000000001E-2</v>
      </c>
      <c r="E42" s="191">
        <f>+B42*0.25</f>
        <v>7.3499999999999998E-3</v>
      </c>
      <c r="F42" s="179">
        <f>+'Growth &amp; Inflation Rates'!$G$24</f>
        <v>4.8099999999999997E-2</v>
      </c>
      <c r="G42" s="180">
        <f>+D42+E42+F42</f>
        <v>7.2428499999999993E-2</v>
      </c>
      <c r="H42" s="13"/>
      <c r="I42" s="13"/>
      <c r="J42" s="13"/>
    </row>
    <row r="43" spans="1:10" ht="17.25">
      <c r="A43" s="178" t="str">
        <f t="shared" si="2"/>
        <v>Three Stage Ex Ante  Version 2   (2)</v>
      </c>
      <c r="B43" s="191">
        <f t="shared" si="2"/>
        <v>2.98E-2</v>
      </c>
      <c r="C43" s="187">
        <f t="shared" si="2"/>
        <v>0.77</v>
      </c>
      <c r="D43" s="179">
        <f>+B43*C43*0.75</f>
        <v>1.7209500000000003E-2</v>
      </c>
      <c r="E43" s="191">
        <f>+B43*0.25</f>
        <v>7.45E-3</v>
      </c>
      <c r="F43" s="179">
        <f>+'Growth &amp; Inflation Rates'!$G$24</f>
        <v>4.8099999999999997E-2</v>
      </c>
      <c r="G43" s="180">
        <f>+D43+E43+F43</f>
        <v>7.2759500000000005E-2</v>
      </c>
      <c r="H43" s="13"/>
      <c r="I43" s="13"/>
      <c r="J43" s="13"/>
    </row>
    <row r="44" spans="1:10" ht="17.25">
      <c r="A44" s="181"/>
      <c r="B44" s="110"/>
      <c r="C44" s="110"/>
      <c r="D44" s="110"/>
      <c r="E44" s="110"/>
      <c r="F44" s="110"/>
      <c r="G44" s="182"/>
      <c r="H44" s="13"/>
      <c r="I44" s="13"/>
      <c r="J44" s="13"/>
    </row>
    <row r="45" spans="1:10" ht="17.25">
      <c r="A45" s="178" t="str">
        <f t="shared" ref="A45:C46" si="3">+A19</f>
        <v>Damodaran Implied ERP Ex Ante   Trailing 12 mo Cash Yield (3)</v>
      </c>
      <c r="B45" s="191">
        <f t="shared" si="3"/>
        <v>4.2299999999999997E-2</v>
      </c>
      <c r="C45" s="187">
        <f t="shared" si="3"/>
        <v>0.77</v>
      </c>
      <c r="D45" s="179">
        <f>+B45*C45*0.75</f>
        <v>2.4428249999999999E-2</v>
      </c>
      <c r="E45" s="191">
        <f>+B45*0.25</f>
        <v>1.0574999999999999E-2</v>
      </c>
      <c r="F45" s="179">
        <f>+'Growth &amp; Inflation Rates'!$G$24</f>
        <v>4.8099999999999997E-2</v>
      </c>
      <c r="G45" s="180">
        <f>+D45+E45+F45</f>
        <v>8.310324999999999E-2</v>
      </c>
      <c r="H45" s="13"/>
      <c r="I45" s="13"/>
      <c r="J45" s="13"/>
    </row>
    <row r="46" spans="1:10" ht="17.25">
      <c r="A46" s="178" t="str">
        <f t="shared" si="3"/>
        <v>Damodaran Implied ERP Ex Ante   Avg CF Yield Last 10 Yrs (3)</v>
      </c>
      <c r="B46" s="191">
        <f t="shared" si="3"/>
        <v>6.1800000000000001E-2</v>
      </c>
      <c r="C46" s="187">
        <f t="shared" si="3"/>
        <v>0.77</v>
      </c>
      <c r="D46" s="179">
        <f>+B46*C46*0.75</f>
        <v>3.5689499999999999E-2</v>
      </c>
      <c r="E46" s="191">
        <f>+B46*0.25</f>
        <v>1.545E-2</v>
      </c>
      <c r="F46" s="179">
        <f>+'Growth &amp; Inflation Rates'!$G$24</f>
        <v>4.8099999999999997E-2</v>
      </c>
      <c r="G46" s="180">
        <f>+D46+E46+F46</f>
        <v>9.9239499999999994E-2</v>
      </c>
      <c r="H46" s="13"/>
      <c r="I46" s="13"/>
      <c r="J46" s="13"/>
    </row>
    <row r="47" spans="1:10" ht="17.25">
      <c r="A47" s="178" t="str">
        <f t="shared" ref="A47:C47" si="4">+A21</f>
        <v>Damodaran Implied ERP Ex Ante   Net Cash Yield (3)</v>
      </c>
      <c r="B47" s="191">
        <f t="shared" si="4"/>
        <v>3.9600000000000003E-2</v>
      </c>
      <c r="C47" s="187">
        <f t="shared" si="4"/>
        <v>0.77</v>
      </c>
      <c r="D47" s="179">
        <f t="shared" ref="D47:D48" si="5">+B47*C47*0.75</f>
        <v>2.2869E-2</v>
      </c>
      <c r="E47" s="191">
        <f t="shared" ref="E47:E48" si="6">+B47*0.25</f>
        <v>9.9000000000000008E-3</v>
      </c>
      <c r="F47" s="179">
        <f>+'Growth &amp; Inflation Rates'!$G$24</f>
        <v>4.8099999999999997E-2</v>
      </c>
      <c r="G47" s="180">
        <f t="shared" ref="G47:G48" si="7">+D47+E47+F47</f>
        <v>8.0868999999999996E-2</v>
      </c>
      <c r="H47" s="13"/>
      <c r="I47" s="13"/>
      <c r="J47" s="13"/>
    </row>
    <row r="48" spans="1:10" ht="17.25">
      <c r="A48" s="178" t="str">
        <f>+A22</f>
        <v>Damodaran Implied ERP Ex Ante   Norm. Earnings &amp; Payout (3)</v>
      </c>
      <c r="B48" s="191">
        <f t="shared" ref="B48:C48" si="8">+B22</f>
        <v>3.6200000000000003E-2</v>
      </c>
      <c r="C48" s="187">
        <f t="shared" si="8"/>
        <v>0.77</v>
      </c>
      <c r="D48" s="179">
        <f t="shared" si="5"/>
        <v>2.09055E-2</v>
      </c>
      <c r="E48" s="191">
        <f t="shared" si="6"/>
        <v>9.0500000000000008E-3</v>
      </c>
      <c r="F48" s="179">
        <f>+'Growth &amp; Inflation Rates'!$G$24</f>
        <v>4.8099999999999997E-2</v>
      </c>
      <c r="G48" s="180">
        <f t="shared" si="7"/>
        <v>7.80555E-2</v>
      </c>
      <c r="H48" s="13"/>
      <c r="I48" s="13"/>
      <c r="J48" s="13"/>
    </row>
    <row r="49" spans="1:10" ht="17.25">
      <c r="A49" s="178" t="s">
        <v>0</v>
      </c>
      <c r="B49" s="191" t="s">
        <v>0</v>
      </c>
      <c r="C49" s="179" t="s">
        <v>0</v>
      </c>
      <c r="D49" s="179" t="s">
        <v>0</v>
      </c>
      <c r="E49" s="191" t="s">
        <v>0</v>
      </c>
      <c r="F49" s="179" t="s">
        <v>0</v>
      </c>
      <c r="G49" s="180" t="s">
        <v>0</v>
      </c>
      <c r="H49" s="13"/>
      <c r="I49" s="13"/>
      <c r="J49" s="13"/>
    </row>
    <row r="50" spans="1:10" ht="17.25">
      <c r="A50" s="178" t="s">
        <v>243</v>
      </c>
      <c r="B50" s="191">
        <f>+B24</f>
        <v>5.6099999999999997E-2</v>
      </c>
      <c r="C50" s="187">
        <f>+C24</f>
        <v>0.77</v>
      </c>
      <c r="D50" s="179">
        <f>+B50*C50*0.75</f>
        <v>3.2397750000000003E-2</v>
      </c>
      <c r="E50" s="191">
        <f>+B50*0.25</f>
        <v>1.4024999999999999E-2</v>
      </c>
      <c r="F50" s="179">
        <f>+'Growth &amp; Inflation Rates'!$G$24</f>
        <v>4.8099999999999997E-2</v>
      </c>
      <c r="G50" s="180">
        <f>+D50+E50+F50</f>
        <v>9.4522749999999989E-2</v>
      </c>
    </row>
    <row r="51" spans="1:10" ht="17.25">
      <c r="A51" s="178" t="s">
        <v>0</v>
      </c>
      <c r="B51" s="191" t="s">
        <v>0</v>
      </c>
      <c r="C51" s="179" t="s">
        <v>0</v>
      </c>
      <c r="D51" s="179" t="s">
        <v>0</v>
      </c>
      <c r="E51" s="191" t="s">
        <v>0</v>
      </c>
      <c r="F51" s="179" t="s">
        <v>0</v>
      </c>
      <c r="G51" s="180" t="s">
        <v>0</v>
      </c>
    </row>
    <row r="52" spans="1:10" ht="17.25">
      <c r="A52" s="178" t="s">
        <v>426</v>
      </c>
      <c r="B52" s="191">
        <f>+B26</f>
        <v>5.5E-2</v>
      </c>
      <c r="C52" s="187">
        <f>+C26</f>
        <v>0.77</v>
      </c>
      <c r="D52" s="179">
        <f>+B52*C52*0.75</f>
        <v>3.1762499999999999E-2</v>
      </c>
      <c r="E52" s="191">
        <f>+B52*0.25</f>
        <v>1.375E-2</v>
      </c>
      <c r="F52" s="179">
        <f>+'Growth &amp; Inflation Rates'!$G$24</f>
        <v>4.8099999999999997E-2</v>
      </c>
      <c r="G52" s="180">
        <f>+D52+E52+F52</f>
        <v>9.3612499999999987E-2</v>
      </c>
    </row>
    <row r="53" spans="1:10" ht="17.25">
      <c r="A53" s="178" t="s">
        <v>0</v>
      </c>
      <c r="B53" s="191" t="s">
        <v>0</v>
      </c>
      <c r="C53" s="179" t="s">
        <v>0</v>
      </c>
      <c r="D53" s="179" t="s">
        <v>0</v>
      </c>
      <c r="E53" s="191" t="s">
        <v>0</v>
      </c>
      <c r="F53" s="179" t="s">
        <v>0</v>
      </c>
      <c r="G53" s="180" t="s">
        <v>0</v>
      </c>
    </row>
    <row r="54" spans="1:10" ht="17.25">
      <c r="A54" s="178" t="s">
        <v>244</v>
      </c>
      <c r="B54" s="191">
        <f>+B28</f>
        <v>6.7799999999999999E-2</v>
      </c>
      <c r="C54" s="187">
        <f>+C28</f>
        <v>0.77</v>
      </c>
      <c r="D54" s="179">
        <f>+B54*C54*0.75</f>
        <v>3.9154500000000002E-2</v>
      </c>
      <c r="E54" s="191">
        <f>+B54*0.25</f>
        <v>1.695E-2</v>
      </c>
      <c r="F54" s="179">
        <f>+'Growth &amp; Inflation Rates'!$G$24</f>
        <v>4.8099999999999997E-2</v>
      </c>
      <c r="G54" s="180">
        <f>+D54+E54+F54</f>
        <v>0.10420450000000001</v>
      </c>
    </row>
    <row r="55" spans="1:10" ht="17.25">
      <c r="A55" s="178" t="s">
        <v>245</v>
      </c>
      <c r="B55" s="191">
        <f>+B29</f>
        <v>5.5399999999999998E-2</v>
      </c>
      <c r="C55" s="187">
        <f>+C29</f>
        <v>0.77</v>
      </c>
      <c r="D55" s="179">
        <f>+B55*C55*0.75</f>
        <v>3.1993500000000001E-2</v>
      </c>
      <c r="E55" s="191">
        <f>+B55*0.25</f>
        <v>1.3849999999999999E-2</v>
      </c>
      <c r="F55" s="179">
        <f>+'Growth &amp; Inflation Rates'!$G$24</f>
        <v>4.8099999999999997E-2</v>
      </c>
      <c r="G55" s="180">
        <f>+D55+E55+F55</f>
        <v>9.3943499999999999E-2</v>
      </c>
    </row>
    <row r="56" spans="1:10" ht="17.25">
      <c r="A56" s="178"/>
      <c r="B56" s="191"/>
      <c r="C56" s="187"/>
      <c r="D56" s="179"/>
      <c r="E56" s="191"/>
      <c r="F56" s="179"/>
      <c r="G56" s="180"/>
    </row>
    <row r="57" spans="1:10" ht="17.25">
      <c r="A57" s="178" t="str">
        <f t="shared" ref="A57:A59" si="9">+A31</f>
        <v>KROLL Ex Post  - ERP Historical (8)</v>
      </c>
      <c r="B57" s="191">
        <f>+B31</f>
        <v>7.3700000000000002E-2</v>
      </c>
      <c r="C57" s="187">
        <f>+C31</f>
        <v>0.77</v>
      </c>
      <c r="D57" s="179">
        <f>+B57*C57*0.75</f>
        <v>4.2561750000000002E-2</v>
      </c>
      <c r="E57" s="191">
        <f>+B57*0.25</f>
        <v>1.8425E-2</v>
      </c>
      <c r="F57" s="179">
        <f>+'Growth &amp; Inflation Rates'!$G$24</f>
        <v>4.8099999999999997E-2</v>
      </c>
      <c r="G57" s="180">
        <f>+D57+E57+F57</f>
        <v>0.10908675000000001</v>
      </c>
    </row>
    <row r="58" spans="1:10" ht="17.25">
      <c r="A58" s="178" t="str">
        <f t="shared" si="9"/>
        <v>KROLL Ex Post - ERP Supply Side (8)</v>
      </c>
      <c r="B58" s="191">
        <f>+B32</f>
        <v>6.3100000000000003E-2</v>
      </c>
      <c r="C58" s="187">
        <f>+C32</f>
        <v>0.77</v>
      </c>
      <c r="D58" s="179">
        <f>+B58*C58*0.75</f>
        <v>3.6440250000000007E-2</v>
      </c>
      <c r="E58" s="191">
        <f>+B58*0.25</f>
        <v>1.5775000000000001E-2</v>
      </c>
      <c r="F58" s="179">
        <f>+'Growth &amp; Inflation Rates'!$G$24</f>
        <v>4.8099999999999997E-2</v>
      </c>
      <c r="G58" s="180">
        <f>+D58+E58+F58</f>
        <v>0.10031524999999999</v>
      </c>
    </row>
    <row r="59" spans="1:10" ht="17.25">
      <c r="A59" s="178" t="str">
        <f t="shared" si="9"/>
        <v>KROLL Ex Ante - ERP Conditional (8)</v>
      </c>
      <c r="B59" s="191">
        <f>+B33</f>
        <v>0.05</v>
      </c>
      <c r="C59" s="187">
        <f>+C29</f>
        <v>0.77</v>
      </c>
      <c r="D59" s="179">
        <f>+B59*C59*0.75</f>
        <v>2.8875000000000005E-2</v>
      </c>
      <c r="E59" s="191">
        <f>+B59*0.25</f>
        <v>1.2500000000000001E-2</v>
      </c>
      <c r="F59" s="179">
        <f>+'Growth &amp; Inflation Rates'!$G$24</f>
        <v>4.8099999999999997E-2</v>
      </c>
      <c r="G59" s="180">
        <f>+D59+E59+F59</f>
        <v>8.9474999999999999E-2</v>
      </c>
    </row>
    <row r="60" spans="1:10" ht="17.25">
      <c r="A60" s="178"/>
      <c r="B60" s="191"/>
      <c r="C60" s="187"/>
      <c r="D60" s="179"/>
      <c r="E60" s="191"/>
      <c r="F60" s="179"/>
      <c r="G60" s="180"/>
    </row>
    <row r="61" spans="1:10" ht="17.25">
      <c r="A61" s="351" t="s">
        <v>0</v>
      </c>
      <c r="B61" s="349" t="s">
        <v>0</v>
      </c>
      <c r="C61" s="187" t="s">
        <v>0</v>
      </c>
      <c r="D61" s="179" t="s">
        <v>0</v>
      </c>
      <c r="E61" s="191" t="s">
        <v>0</v>
      </c>
      <c r="F61" s="179" t="s">
        <v>0</v>
      </c>
      <c r="G61" s="180" t="s">
        <v>0</v>
      </c>
    </row>
    <row r="62" spans="1:10" ht="15.75" thickBot="1">
      <c r="A62" s="322"/>
      <c r="B62" s="144"/>
      <c r="C62" s="144"/>
      <c r="D62" s="144"/>
      <c r="E62" s="144"/>
      <c r="F62" s="144"/>
      <c r="G62" s="323"/>
    </row>
    <row r="64" spans="1:10" ht="17.25">
      <c r="A64" s="63" t="s">
        <v>105</v>
      </c>
      <c r="E64" s="190" t="s">
        <v>0</v>
      </c>
    </row>
    <row r="65" spans="1:7">
      <c r="A65" s="154" t="s">
        <v>0</v>
      </c>
      <c r="E65" s="190" t="s">
        <v>0</v>
      </c>
    </row>
    <row r="66" spans="1:7" ht="16.5">
      <c r="A66" s="437" t="s">
        <v>469</v>
      </c>
      <c r="B66" s="13"/>
      <c r="C66" s="13"/>
      <c r="D66" s="13"/>
      <c r="E66" s="13"/>
      <c r="F66" s="13"/>
      <c r="G66" s="13"/>
    </row>
    <row r="67" spans="1:7" ht="16.5">
      <c r="A67" s="437" t="s">
        <v>470</v>
      </c>
      <c r="B67" s="13"/>
      <c r="C67" s="13"/>
      <c r="D67" s="13"/>
      <c r="E67" s="13"/>
      <c r="F67" s="13"/>
      <c r="G67" s="13"/>
    </row>
    <row r="68" spans="1:7" ht="16.5">
      <c r="A68" s="44" t="s">
        <v>0</v>
      </c>
      <c r="B68" s="13"/>
      <c r="C68" s="13"/>
      <c r="D68" s="13"/>
      <c r="E68" s="13"/>
      <c r="F68" s="13"/>
      <c r="G68" s="13"/>
    </row>
    <row r="69" spans="1:7" ht="16.5">
      <c r="A69" s="44" t="s">
        <v>494</v>
      </c>
      <c r="B69" s="13"/>
      <c r="C69" s="13"/>
      <c r="D69" s="13"/>
      <c r="E69" s="13"/>
      <c r="F69" s="13"/>
      <c r="G69" s="13"/>
    </row>
    <row r="70" spans="1:7" ht="16.5">
      <c r="A70" s="142" t="s">
        <v>404</v>
      </c>
      <c r="C70" s="13"/>
      <c r="D70" s="13"/>
      <c r="E70" s="13"/>
      <c r="F70" s="13"/>
      <c r="G70" s="13"/>
    </row>
    <row r="71" spans="1:7" ht="16.5">
      <c r="A71" s="44" t="s">
        <v>0</v>
      </c>
      <c r="B71" s="13"/>
      <c r="C71" s="13"/>
      <c r="D71" s="13"/>
      <c r="E71" s="13"/>
      <c r="F71" s="13"/>
      <c r="G71" s="13"/>
    </row>
    <row r="72" spans="1:7" ht="16.5">
      <c r="A72" s="44" t="s">
        <v>495</v>
      </c>
      <c r="B72" s="13"/>
      <c r="C72" s="13"/>
      <c r="D72" s="13"/>
      <c r="E72" s="13"/>
      <c r="F72" s="13"/>
      <c r="G72" s="13"/>
    </row>
    <row r="73" spans="1:7" ht="16.5">
      <c r="A73" s="142" t="s">
        <v>405</v>
      </c>
      <c r="B73" s="13"/>
      <c r="C73" s="13"/>
      <c r="D73" s="13"/>
      <c r="E73" s="13"/>
      <c r="F73" s="13"/>
      <c r="G73" s="13"/>
    </row>
    <row r="74" spans="1:7" ht="16.5">
      <c r="A74" s="44"/>
      <c r="B74" s="13"/>
      <c r="C74" s="13"/>
      <c r="D74" s="13"/>
      <c r="E74" s="13"/>
      <c r="F74" s="13"/>
      <c r="G74" s="13"/>
    </row>
    <row r="75" spans="1:7" ht="16.5">
      <c r="A75" s="44" t="s">
        <v>496</v>
      </c>
      <c r="B75" s="13"/>
      <c r="C75" s="13"/>
      <c r="D75" s="13"/>
      <c r="E75" s="13"/>
      <c r="F75" s="13"/>
      <c r="G75" s="13"/>
    </row>
    <row r="76" spans="1:7" ht="16.5">
      <c r="A76" s="142" t="s">
        <v>506</v>
      </c>
      <c r="B76" s="142"/>
      <c r="C76" s="13"/>
      <c r="D76" s="13"/>
      <c r="E76" s="13"/>
      <c r="F76" s="13"/>
      <c r="G76" s="13"/>
    </row>
    <row r="77" spans="1:7" ht="16.5">
      <c r="A77" s="44"/>
      <c r="B77" s="13"/>
      <c r="C77" s="13"/>
      <c r="D77" s="13"/>
      <c r="E77" s="13"/>
      <c r="F77" s="13"/>
      <c r="G77" s="13"/>
    </row>
    <row r="78" spans="1:7" ht="16.5">
      <c r="A78" s="44" t="s">
        <v>477</v>
      </c>
      <c r="B78" s="13"/>
      <c r="C78" s="13"/>
      <c r="D78" s="13"/>
      <c r="E78" s="13"/>
      <c r="F78" s="13"/>
      <c r="G78" s="13"/>
    </row>
    <row r="79" spans="1:7" ht="16.5">
      <c r="A79" s="142" t="s">
        <v>406</v>
      </c>
      <c r="B79" s="13"/>
      <c r="C79" s="13"/>
      <c r="D79" s="13"/>
      <c r="E79" s="13"/>
      <c r="F79" s="13"/>
      <c r="G79" s="13"/>
    </row>
    <row r="80" spans="1:7">
      <c r="A80" s="154"/>
    </row>
    <row r="81" spans="1:7" ht="16.5">
      <c r="A81" s="44" t="s">
        <v>478</v>
      </c>
    </row>
    <row r="82" spans="1:7" ht="16.5">
      <c r="A82" s="44" t="s">
        <v>0</v>
      </c>
      <c r="B82" s="142"/>
    </row>
    <row r="83" spans="1:7" ht="16.5">
      <c r="A83" s="44" t="s">
        <v>0</v>
      </c>
    </row>
    <row r="84" spans="1:7">
      <c r="A84" s="142"/>
    </row>
    <row r="85" spans="1:7" ht="21" thickBot="1">
      <c r="A85" s="145"/>
      <c r="B85" s="145"/>
      <c r="C85" s="145"/>
      <c r="D85" s="30"/>
      <c r="E85" s="37"/>
      <c r="F85" s="30"/>
      <c r="G85" s="144"/>
    </row>
  </sheetData>
  <hyperlinks>
    <hyperlink ref="A79" r:id="rId1" xr:uid="{E37BD663-A87F-41AA-B5DC-2D207E91A32D}"/>
    <hyperlink ref="A70" r:id="rId2" xr:uid="{DF590E47-78F4-4F92-8083-ECA2F977B3C6}"/>
    <hyperlink ref="A73" r:id="rId3" xr:uid="{3F863F73-3A09-4623-92A0-EA925AE88E85}"/>
    <hyperlink ref="A76" r:id="rId4" xr:uid="{0517A3B8-22A0-4B95-8DAA-EE45B8E3214B}"/>
  </hyperlinks>
  <pageMargins left="0.25" right="0.25" top="0.75" bottom="0.75" header="0.3" footer="0.3"/>
  <pageSetup scale="40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D4E0-B3FC-4586-BC67-68D962BDC454}">
  <sheetPr>
    <tabColor rgb="FF92D050"/>
  </sheetPr>
  <dimension ref="A1:R108"/>
  <sheetViews>
    <sheetView tabSelected="1" view="pageBreakPreview" topLeftCell="A20" zoomScale="50" zoomScaleNormal="80" zoomScaleSheetLayoutView="50" workbookViewId="0">
      <selection activeCell="A74" sqref="A74"/>
    </sheetView>
  </sheetViews>
  <sheetFormatPr defaultRowHeight="15"/>
  <cols>
    <col min="1" max="1" width="70.5703125" customWidth="1"/>
    <col min="2" max="2" width="23.5703125" customWidth="1"/>
    <col min="3" max="3" width="26.7109375" customWidth="1"/>
    <col min="4" max="4" width="27.85546875" customWidth="1"/>
    <col min="5" max="5" width="28.85546875" customWidth="1"/>
    <col min="6" max="6" width="29.140625" customWidth="1"/>
    <col min="7" max="7" width="31" customWidth="1"/>
    <col min="8" max="8" width="27.42578125" customWidth="1"/>
    <col min="9" max="9" width="15.42578125" customWidth="1"/>
    <col min="10" max="10" width="23.42578125" customWidth="1"/>
    <col min="11" max="11" width="18.28515625" customWidth="1"/>
    <col min="12" max="12" width="14.140625" bestFit="1" customWidth="1"/>
    <col min="14" max="14" width="1.7109375" bestFit="1" customWidth="1"/>
    <col min="16" max="16" width="18.140625" bestFit="1" customWidth="1"/>
    <col min="17" max="17" width="18.5703125" bestFit="1" customWidth="1"/>
    <col min="18" max="18" width="47.42578125" bestFit="1" customWidth="1"/>
  </cols>
  <sheetData>
    <row r="1" spans="1:11" ht="26.25">
      <c r="A1" s="25" t="s">
        <v>1</v>
      </c>
      <c r="C1" s="25"/>
      <c r="D1" s="25"/>
      <c r="E1" s="13"/>
      <c r="F1" s="13"/>
      <c r="G1" s="13"/>
      <c r="H1" s="13"/>
      <c r="I1" s="13"/>
      <c r="J1" s="13"/>
      <c r="K1" s="13"/>
    </row>
    <row r="2" spans="1:11" ht="17.25">
      <c r="A2" s="26" t="s">
        <v>9</v>
      </c>
      <c r="C2" s="26"/>
      <c r="D2" s="26"/>
      <c r="E2" s="13"/>
      <c r="F2" s="13"/>
      <c r="G2" s="13"/>
      <c r="H2" s="13"/>
      <c r="I2" s="13"/>
      <c r="J2" s="13"/>
      <c r="K2" s="13"/>
    </row>
    <row r="3" spans="1:11" ht="16.5">
      <c r="A3" s="27" t="s">
        <v>475</v>
      </c>
      <c r="C3" s="27"/>
      <c r="D3" s="27"/>
      <c r="E3" s="13"/>
      <c r="F3" s="13"/>
      <c r="G3" s="13"/>
      <c r="H3" s="13"/>
      <c r="I3" s="13"/>
      <c r="J3" s="13"/>
      <c r="K3" s="13"/>
    </row>
    <row r="4" spans="1:11" ht="16.5">
      <c r="B4" s="27"/>
      <c r="C4" s="27"/>
      <c r="D4" s="27"/>
      <c r="E4" s="13"/>
      <c r="F4" s="13"/>
      <c r="G4" s="13"/>
      <c r="H4" s="13"/>
      <c r="I4" s="13"/>
      <c r="J4" s="13"/>
      <c r="K4" s="13"/>
    </row>
    <row r="5" spans="1:11" ht="16.5">
      <c r="B5" s="13"/>
      <c r="C5" s="13"/>
      <c r="D5" s="13"/>
      <c r="E5" s="13"/>
      <c r="F5" s="13"/>
      <c r="G5" s="13"/>
      <c r="H5" s="13"/>
      <c r="I5" s="463" t="s">
        <v>0</v>
      </c>
      <c r="J5" s="28"/>
      <c r="K5" s="13"/>
    </row>
    <row r="6" spans="1:11" ht="17.25" thickBot="1">
      <c r="B6" s="13"/>
      <c r="C6" s="13"/>
      <c r="D6" s="30"/>
      <c r="E6" s="30"/>
      <c r="F6" s="144"/>
      <c r="H6" s="13"/>
      <c r="I6" s="13"/>
      <c r="J6" s="13"/>
    </row>
    <row r="7" spans="1:11" ht="27" thickBot="1">
      <c r="A7" s="29" t="s">
        <v>403</v>
      </c>
      <c r="C7" s="31"/>
      <c r="D7" s="31"/>
      <c r="E7" s="32" t="s">
        <v>272</v>
      </c>
      <c r="H7" s="13"/>
      <c r="I7" s="13"/>
      <c r="J7" s="13"/>
    </row>
    <row r="8" spans="1:11" ht="21" thickBot="1">
      <c r="B8" s="31"/>
      <c r="C8" s="31"/>
      <c r="D8" s="145"/>
      <c r="E8" s="37" t="s">
        <v>488</v>
      </c>
      <c r="F8" s="144"/>
      <c r="H8" s="13"/>
      <c r="I8" s="13"/>
    </row>
    <row r="9" spans="1:11" ht="20.25">
      <c r="B9" s="31"/>
      <c r="C9" s="31"/>
      <c r="D9" s="31"/>
      <c r="E9" s="35"/>
      <c r="H9" s="13"/>
      <c r="I9" s="13"/>
    </row>
    <row r="10" spans="1:11" ht="29.1" customHeight="1" thickBot="1">
      <c r="A10" s="145"/>
      <c r="B10" s="31"/>
      <c r="I10" s="13"/>
    </row>
    <row r="11" spans="1:11" ht="22.5" customHeight="1" thickBot="1">
      <c r="A11" s="158" t="s">
        <v>271</v>
      </c>
      <c r="B11" s="31"/>
      <c r="I11" s="13"/>
    </row>
    <row r="12" spans="1:11" ht="20.100000000000001" customHeight="1" thickBot="1">
      <c r="A12" s="157" t="s">
        <v>0</v>
      </c>
      <c r="B12" s="13"/>
      <c r="C12" s="13"/>
      <c r="D12" s="13"/>
      <c r="E12" s="13"/>
      <c r="F12" s="13"/>
      <c r="G12" s="13"/>
      <c r="H12" s="13"/>
      <c r="I12" s="13"/>
    </row>
    <row r="13" spans="1:11" ht="60.6" customHeight="1" thickBot="1">
      <c r="A13" s="202" t="s">
        <v>0</v>
      </c>
      <c r="B13" s="151" t="s">
        <v>321</v>
      </c>
      <c r="C13" s="151" t="s">
        <v>320</v>
      </c>
      <c r="D13" s="150" t="s">
        <v>251</v>
      </c>
      <c r="E13" s="151" t="s">
        <v>252</v>
      </c>
      <c r="F13" s="151" t="s">
        <v>290</v>
      </c>
      <c r="G13" s="151" t="s">
        <v>432</v>
      </c>
      <c r="H13" s="151" t="s">
        <v>253</v>
      </c>
    </row>
    <row r="14" spans="1:11" ht="16.5">
      <c r="A14" s="146"/>
      <c r="B14" s="196"/>
      <c r="C14" s="196"/>
      <c r="D14" s="114"/>
      <c r="E14" s="196"/>
      <c r="F14" s="196"/>
      <c r="G14" s="196"/>
      <c r="H14" s="196"/>
    </row>
    <row r="15" spans="1:11" ht="20.25">
      <c r="A15" s="155" t="str">
        <f>+A7</f>
        <v>Electric Utilities</v>
      </c>
      <c r="B15" s="214"/>
      <c r="C15" s="214"/>
      <c r="D15" s="292"/>
      <c r="E15" s="214"/>
      <c r="F15" s="214">
        <f>+'Dividends '!K34</f>
        <v>4.6929807036333072E-2</v>
      </c>
      <c r="G15" s="214">
        <f>+Earnings!K34</f>
        <v>6.6053667551115677E-2</v>
      </c>
      <c r="H15" s="214"/>
    </row>
    <row r="16" spans="1:11" ht="21" thickBot="1">
      <c r="A16" s="148" t="s">
        <v>0</v>
      </c>
      <c r="B16" s="197" t="s">
        <v>0</v>
      </c>
      <c r="C16" s="197"/>
      <c r="D16" s="156"/>
      <c r="E16" s="197"/>
      <c r="F16" s="239">
        <f>+'Dividends '!K35</f>
        <v>4.6105908170979377E-2</v>
      </c>
      <c r="G16" s="239">
        <f>+Earnings!K35</f>
        <v>6.3328185965102854E-2</v>
      </c>
      <c r="H16" s="197"/>
    </row>
    <row r="17" spans="1:18" ht="57.95" customHeight="1" thickBot="1">
      <c r="A17" s="13"/>
      <c r="B17" s="13"/>
      <c r="C17" s="13"/>
      <c r="D17" s="13"/>
      <c r="E17" s="13"/>
      <c r="F17" s="13"/>
      <c r="G17" s="13"/>
      <c r="H17" s="13"/>
      <c r="I17" s="13"/>
    </row>
    <row r="18" spans="1:18" ht="24.95" customHeight="1" thickBot="1">
      <c r="A18" s="158" t="s">
        <v>458</v>
      </c>
      <c r="B18" s="13"/>
      <c r="C18" s="13"/>
      <c r="D18" s="396"/>
      <c r="E18" s="13"/>
      <c r="F18" s="13"/>
      <c r="G18" s="13"/>
      <c r="H18" s="13"/>
      <c r="I18" s="13"/>
    </row>
    <row r="19" spans="1:18" ht="20.100000000000001" customHeight="1">
      <c r="A19" s="13"/>
      <c r="B19" s="13"/>
      <c r="C19" s="13"/>
      <c r="D19" s="413" t="s">
        <v>458</v>
      </c>
      <c r="E19" s="13"/>
      <c r="F19" s="13"/>
      <c r="G19" s="13"/>
      <c r="H19" s="13"/>
      <c r="I19" s="13"/>
    </row>
    <row r="20" spans="1:18" ht="27.95" customHeight="1">
      <c r="A20" s="414"/>
      <c r="B20" s="390"/>
      <c r="C20" s="415" t="s">
        <v>479</v>
      </c>
      <c r="D20" s="416"/>
      <c r="E20" s="13"/>
      <c r="F20" s="13"/>
      <c r="G20" s="13"/>
      <c r="H20" s="13"/>
      <c r="I20" s="13"/>
    </row>
    <row r="21" spans="1:18" ht="27.95" customHeight="1">
      <c r="A21" s="348"/>
      <c r="C21" s="417" t="s">
        <v>459</v>
      </c>
      <c r="D21" s="418">
        <v>4.19E-2</v>
      </c>
      <c r="E21" s="13"/>
      <c r="F21" s="13"/>
      <c r="G21" s="13"/>
      <c r="H21" s="13"/>
      <c r="I21" s="13"/>
    </row>
    <row r="22" spans="1:18" ht="27" customHeight="1">
      <c r="A22" s="348"/>
      <c r="C22" s="417" t="s">
        <v>460</v>
      </c>
      <c r="D22" s="418">
        <v>4.8099999999999997E-2</v>
      </c>
      <c r="E22" s="13"/>
      <c r="F22" s="13"/>
      <c r="G22" s="13"/>
      <c r="H22" s="13"/>
      <c r="I22" s="13"/>
    </row>
    <row r="23" spans="1:18" ht="27" customHeight="1" thickBot="1">
      <c r="A23" s="348"/>
      <c r="C23" s="417" t="s">
        <v>461</v>
      </c>
      <c r="D23" s="418">
        <v>4.8599999999999997E-2</v>
      </c>
      <c r="E23" s="13"/>
      <c r="F23" s="13"/>
      <c r="G23" s="419" t="s">
        <v>462</v>
      </c>
      <c r="I23" s="13"/>
    </row>
    <row r="24" spans="1:18" ht="27" customHeight="1" thickBot="1">
      <c r="A24" s="348"/>
      <c r="B24" s="13"/>
      <c r="C24" s="420" t="s">
        <v>480</v>
      </c>
      <c r="D24" s="421"/>
      <c r="E24" s="13"/>
      <c r="F24" s="13"/>
      <c r="G24" s="422">
        <v>4.8099999999999997E-2</v>
      </c>
      <c r="H24" s="13"/>
      <c r="I24" s="13"/>
    </row>
    <row r="25" spans="1:18" ht="27" customHeight="1">
      <c r="A25" s="348"/>
      <c r="C25" s="417" t="s">
        <v>459</v>
      </c>
      <c r="D25" s="418">
        <v>4.1200000000000001E-2</v>
      </c>
      <c r="E25" s="13"/>
      <c r="F25" s="13"/>
      <c r="G25" s="13"/>
      <c r="H25" s="13"/>
      <c r="I25" s="13"/>
    </row>
    <row r="26" spans="1:18" ht="27" customHeight="1">
      <c r="A26" s="348"/>
      <c r="C26" s="417" t="s">
        <v>463</v>
      </c>
      <c r="D26" s="418">
        <v>0</v>
      </c>
      <c r="E26" s="13"/>
      <c r="F26" s="13"/>
      <c r="G26" s="13"/>
      <c r="H26" s="13"/>
      <c r="I26" s="13"/>
    </row>
    <row r="27" spans="1:18" ht="27" customHeight="1">
      <c r="A27" s="348"/>
      <c r="C27" s="417" t="s">
        <v>464</v>
      </c>
      <c r="D27" s="418">
        <v>4.8300000000000003E-2</v>
      </c>
      <c r="E27" s="13"/>
      <c r="F27" s="13"/>
      <c r="G27" s="13"/>
      <c r="H27" s="13"/>
      <c r="I27" s="13"/>
    </row>
    <row r="28" spans="1:18" ht="27" customHeight="1">
      <c r="A28" s="348"/>
      <c r="C28" s="423" t="s">
        <v>481</v>
      </c>
      <c r="D28" s="424">
        <v>4.1799999999999997E-2</v>
      </c>
      <c r="E28" s="13"/>
      <c r="F28" s="13"/>
      <c r="G28" s="13"/>
      <c r="H28" s="13"/>
      <c r="I28" s="13"/>
    </row>
    <row r="29" spans="1:18" ht="20.25">
      <c r="A29" s="425"/>
      <c r="B29" s="222"/>
      <c r="C29" s="426" t="s">
        <v>482</v>
      </c>
      <c r="D29" s="427">
        <v>4.7899999999999998E-2</v>
      </c>
      <c r="L29" s="13"/>
    </row>
    <row r="30" spans="1:18" ht="63.6" customHeight="1" thickBot="1">
      <c r="B30" s="13"/>
      <c r="C30" s="13"/>
      <c r="D30" s="30"/>
      <c r="E30" s="30"/>
      <c r="F30" s="30"/>
      <c r="G30" s="13"/>
      <c r="H30" s="13"/>
      <c r="I30" s="13"/>
      <c r="L30" s="13"/>
    </row>
    <row r="31" spans="1:18" ht="26.25">
      <c r="B31" s="31"/>
      <c r="C31" s="31"/>
      <c r="D31" s="13"/>
      <c r="E31" s="32" t="s">
        <v>236</v>
      </c>
      <c r="F31" s="13"/>
      <c r="G31" s="13"/>
      <c r="H31" s="13"/>
      <c r="I31" s="13"/>
      <c r="J31" s="428" t="s">
        <v>0</v>
      </c>
      <c r="K31" s="86"/>
      <c r="L31" s="86"/>
      <c r="M31" s="86"/>
      <c r="N31" s="86"/>
      <c r="O31" s="13"/>
      <c r="P31" s="13"/>
      <c r="Q31" s="13"/>
      <c r="R31" s="13"/>
    </row>
    <row r="32" spans="1:18" ht="21" thickBot="1">
      <c r="A32" s="144"/>
      <c r="B32" s="31"/>
      <c r="C32" s="31"/>
      <c r="D32" s="30"/>
      <c r="E32" s="37" t="s">
        <v>488</v>
      </c>
      <c r="F32" s="30"/>
      <c r="G32" s="13"/>
      <c r="H32" s="13"/>
      <c r="I32" s="13"/>
      <c r="J32" s="429"/>
      <c r="K32" s="430"/>
      <c r="L32" s="430"/>
      <c r="M32" s="86"/>
      <c r="N32" s="86"/>
      <c r="O32" s="13"/>
      <c r="P32" s="13"/>
      <c r="Q32" s="13"/>
      <c r="R32" s="13"/>
    </row>
    <row r="33" spans="1:18" ht="21" thickBot="1">
      <c r="A33" s="143" t="s">
        <v>433</v>
      </c>
      <c r="B33" s="31"/>
      <c r="C33" s="31"/>
      <c r="D33" s="35"/>
      <c r="E33" s="141"/>
      <c r="F33" s="13"/>
      <c r="G33" s="13"/>
      <c r="H33" s="13"/>
      <c r="I33" s="13"/>
      <c r="J33" s="429"/>
      <c r="K33" s="429"/>
      <c r="L33" s="429"/>
      <c r="M33" s="430"/>
      <c r="N33" s="464" t="s">
        <v>0</v>
      </c>
      <c r="O33" s="13"/>
      <c r="P33" s="13"/>
      <c r="Q33" s="13"/>
      <c r="R33" s="13"/>
    </row>
    <row r="34" spans="1:18" ht="18.75">
      <c r="A34" s="41" t="s">
        <v>0</v>
      </c>
      <c r="B34" s="41"/>
      <c r="C34" s="41"/>
      <c r="D34" s="41" t="s">
        <v>0</v>
      </c>
      <c r="E34" s="41" t="s">
        <v>0</v>
      </c>
      <c r="F34" s="41" t="s">
        <v>0</v>
      </c>
      <c r="G34" s="41"/>
      <c r="H34" s="13"/>
      <c r="I34" s="13"/>
      <c r="J34" s="429"/>
      <c r="K34" s="431"/>
      <c r="L34" s="429"/>
      <c r="M34" s="430"/>
      <c r="N34" s="86"/>
      <c r="O34" s="13"/>
      <c r="P34" s="13"/>
      <c r="Q34" s="13"/>
      <c r="R34" s="13"/>
    </row>
    <row r="35" spans="1:18" ht="20.25">
      <c r="A35" s="35" t="s">
        <v>0</v>
      </c>
      <c r="B35" s="35"/>
      <c r="C35" s="35"/>
      <c r="D35" s="373" t="s">
        <v>111</v>
      </c>
      <c r="E35" s="373" t="s">
        <v>273</v>
      </c>
      <c r="F35" s="373" t="s">
        <v>155</v>
      </c>
      <c r="G35" s="236"/>
      <c r="H35" s="13"/>
      <c r="I35" s="13"/>
      <c r="J35" s="429"/>
      <c r="K35" s="429"/>
      <c r="L35" s="429"/>
      <c r="M35" s="430"/>
      <c r="N35" s="86"/>
      <c r="O35" s="13"/>
      <c r="P35" s="13"/>
      <c r="Q35" s="13"/>
      <c r="R35" s="13"/>
    </row>
    <row r="36" spans="1:18" ht="20.25">
      <c r="A36" s="443" t="s">
        <v>153</v>
      </c>
      <c r="B36" s="444"/>
      <c r="C36" s="445"/>
      <c r="D36" s="374" t="s">
        <v>113</v>
      </c>
      <c r="E36" s="374" t="s">
        <v>154</v>
      </c>
      <c r="F36" s="374" t="s">
        <v>156</v>
      </c>
      <c r="G36" s="236"/>
      <c r="H36" s="13"/>
      <c r="I36" s="13"/>
      <c r="J36" s="430"/>
      <c r="K36" s="430"/>
      <c r="L36" s="432"/>
      <c r="M36" s="430"/>
      <c r="N36" s="86"/>
      <c r="O36" s="13"/>
      <c r="P36" s="13"/>
      <c r="Q36" s="13"/>
      <c r="R36" s="13"/>
    </row>
    <row r="37" spans="1:18" ht="18.75">
      <c r="H37" s="372"/>
      <c r="J37" s="430"/>
      <c r="K37" s="430"/>
      <c r="L37" s="86"/>
      <c r="M37" s="86"/>
      <c r="N37" s="86"/>
      <c r="O37" s="13"/>
      <c r="P37" s="13"/>
      <c r="Q37" s="13"/>
      <c r="R37" s="13"/>
    </row>
    <row r="38" spans="1:18" ht="20.25">
      <c r="A38" s="375" t="s">
        <v>274</v>
      </c>
      <c r="B38" s="159"/>
      <c r="C38" s="192"/>
      <c r="D38" s="376">
        <v>2.2499999999999999E-2</v>
      </c>
      <c r="E38" s="377" t="s">
        <v>434</v>
      </c>
      <c r="F38" s="377" t="s">
        <v>434</v>
      </c>
      <c r="H38" s="372" t="s">
        <v>0</v>
      </c>
      <c r="J38" s="433"/>
      <c r="K38" s="430"/>
      <c r="L38" s="430"/>
      <c r="M38" s="86"/>
      <c r="N38" s="86"/>
      <c r="O38" s="13"/>
      <c r="P38" s="13"/>
      <c r="Q38" s="13"/>
      <c r="R38" s="13"/>
    </row>
    <row r="39" spans="1:18" ht="20.25">
      <c r="A39" s="378" t="s">
        <v>275</v>
      </c>
      <c r="B39" s="63"/>
      <c r="C39" s="193"/>
      <c r="D39" s="379">
        <v>2.4199999999999999E-2</v>
      </c>
      <c r="E39" s="380" t="s">
        <v>434</v>
      </c>
      <c r="F39" s="380" t="s">
        <v>434</v>
      </c>
      <c r="H39" s="31" t="s">
        <v>0</v>
      </c>
      <c r="I39" s="13"/>
      <c r="J39" s="433"/>
      <c r="K39" s="430"/>
      <c r="L39" s="430"/>
      <c r="M39" s="86"/>
      <c r="N39" s="86"/>
      <c r="O39" s="13"/>
      <c r="P39" s="13"/>
      <c r="Q39" s="13"/>
      <c r="R39" s="13"/>
    </row>
    <row r="40" spans="1:18" ht="20.25">
      <c r="A40" s="381" t="s">
        <v>276</v>
      </c>
      <c r="B40" s="161"/>
      <c r="C40" s="194"/>
      <c r="D40" s="382">
        <v>2.23E-2</v>
      </c>
      <c r="E40" s="383" t="s">
        <v>434</v>
      </c>
      <c r="F40" s="383" t="s">
        <v>434</v>
      </c>
      <c r="H40" s="124" t="s">
        <v>0</v>
      </c>
      <c r="I40" s="13"/>
      <c r="J40" s="433"/>
      <c r="K40" s="430"/>
      <c r="L40" s="430"/>
      <c r="M40" s="86"/>
      <c r="N40" s="86"/>
      <c r="O40" s="13"/>
      <c r="P40" s="13"/>
      <c r="Q40" s="13"/>
      <c r="R40" s="13"/>
    </row>
    <row r="41" spans="1:18" ht="20.25">
      <c r="A41" s="378" t="s">
        <v>277</v>
      </c>
      <c r="B41" s="63"/>
      <c r="C41" s="193"/>
      <c r="D41" s="384">
        <v>2.29E-2</v>
      </c>
      <c r="E41" s="384">
        <v>2.01E-2</v>
      </c>
      <c r="F41" s="379">
        <f t="shared" ref="F41:F49" si="0">+D41+E41</f>
        <v>4.2999999999999997E-2</v>
      </c>
      <c r="H41" s="13" t="s">
        <v>0</v>
      </c>
      <c r="I41" s="13"/>
      <c r="J41" s="433"/>
      <c r="K41" s="430"/>
      <c r="L41" s="430"/>
      <c r="M41" s="86"/>
      <c r="N41" s="86"/>
      <c r="O41" s="13"/>
      <c r="P41" s="13"/>
      <c r="Q41" s="13"/>
      <c r="R41" s="13"/>
    </row>
    <row r="42" spans="1:18" ht="20.25">
      <c r="A42" s="378" t="s">
        <v>435</v>
      </c>
      <c r="B42" s="63"/>
      <c r="C42" s="193"/>
      <c r="D42" s="384">
        <v>2.4E-2</v>
      </c>
      <c r="E42" s="384">
        <v>0.02</v>
      </c>
      <c r="F42" s="379">
        <f t="shared" si="0"/>
        <v>4.3999999999999997E-2</v>
      </c>
      <c r="H42" s="13"/>
      <c r="I42" s="13"/>
      <c r="J42" s="433"/>
      <c r="K42" s="430"/>
      <c r="L42" s="86"/>
      <c r="M42" s="86"/>
      <c r="N42" s="86"/>
      <c r="O42" s="13"/>
      <c r="P42" s="13"/>
      <c r="Q42" s="13"/>
      <c r="R42" s="13"/>
    </row>
    <row r="43" spans="1:18" ht="20.25">
      <c r="A43" s="381" t="s">
        <v>436</v>
      </c>
      <c r="B43" s="161"/>
      <c r="C43" s="194"/>
      <c r="D43" s="385">
        <v>2.3400000000000001E-2</v>
      </c>
      <c r="E43" s="385">
        <v>2.1000000000000001E-2</v>
      </c>
      <c r="F43" s="382">
        <f t="shared" si="0"/>
        <v>4.4400000000000002E-2</v>
      </c>
      <c r="H43" s="13"/>
      <c r="I43" s="13"/>
      <c r="J43" s="433"/>
      <c r="K43" s="430"/>
      <c r="L43" s="86"/>
      <c r="M43" s="86"/>
      <c r="N43" s="86"/>
      <c r="O43" s="13"/>
      <c r="P43" s="13"/>
      <c r="Q43" s="13"/>
      <c r="R43" s="13"/>
    </row>
    <row r="44" spans="1:18" ht="20.25">
      <c r="A44" s="378" t="s">
        <v>437</v>
      </c>
      <c r="B44" s="63"/>
      <c r="C44" s="193"/>
      <c r="D44" s="379">
        <v>2.3E-2</v>
      </c>
      <c r="E44" s="384">
        <v>1.7999999999999999E-2</v>
      </c>
      <c r="F44" s="379">
        <f t="shared" si="0"/>
        <v>4.0999999999999995E-2</v>
      </c>
      <c r="H44" s="122" t="s">
        <v>0</v>
      </c>
      <c r="I44" s="13"/>
      <c r="J44" s="433"/>
      <c r="K44" s="430"/>
      <c r="L44" s="86"/>
      <c r="M44" s="86"/>
      <c r="N44" s="86"/>
      <c r="O44" s="13"/>
      <c r="P44" s="13"/>
      <c r="Q44" s="13"/>
      <c r="R44" s="13"/>
    </row>
    <row r="45" spans="1:18" ht="20.25">
      <c r="A45" s="378" t="s">
        <v>438</v>
      </c>
      <c r="B45" s="63"/>
      <c r="C45" s="193"/>
      <c r="D45" s="379">
        <v>2.3E-2</v>
      </c>
      <c r="E45" s="384">
        <v>2.1000000000000001E-2</v>
      </c>
      <c r="F45" s="379">
        <f t="shared" si="0"/>
        <v>4.3999999999999997E-2</v>
      </c>
      <c r="H45" s="122" t="s">
        <v>0</v>
      </c>
      <c r="I45" s="13"/>
      <c r="J45" s="433"/>
      <c r="K45" s="430"/>
      <c r="L45" s="86"/>
      <c r="M45" s="86"/>
      <c r="N45" s="86"/>
      <c r="O45" s="13"/>
      <c r="P45" s="13"/>
      <c r="Q45" s="13"/>
      <c r="R45" s="13"/>
    </row>
    <row r="46" spans="1:18" ht="20.25">
      <c r="A46" s="381" t="s">
        <v>439</v>
      </c>
      <c r="B46" s="161"/>
      <c r="C46" s="194"/>
      <c r="D46" s="382">
        <v>2.3E-2</v>
      </c>
      <c r="E46" s="385">
        <v>1.9E-2</v>
      </c>
      <c r="F46" s="382">
        <f t="shared" si="0"/>
        <v>4.1999999999999996E-2</v>
      </c>
      <c r="H46" s="13"/>
      <c r="I46" s="13"/>
      <c r="J46" s="433"/>
      <c r="K46" s="430"/>
      <c r="L46" s="86"/>
      <c r="M46" s="86"/>
      <c r="N46" s="86"/>
      <c r="O46" s="13"/>
      <c r="P46" s="13"/>
      <c r="Q46" s="13"/>
      <c r="R46" s="13"/>
    </row>
    <row r="47" spans="1:18" ht="20.25">
      <c r="A47" s="378" t="s">
        <v>440</v>
      </c>
      <c r="B47" s="63"/>
      <c r="C47" s="193"/>
      <c r="D47" s="379">
        <v>2.3E-2</v>
      </c>
      <c r="E47" s="384">
        <v>2.1000000000000001E-2</v>
      </c>
      <c r="F47" s="379">
        <f t="shared" si="0"/>
        <v>4.3999999999999997E-2</v>
      </c>
      <c r="H47" s="13"/>
      <c r="I47" s="13"/>
      <c r="J47" s="433"/>
      <c r="K47" s="430"/>
      <c r="L47" s="86"/>
      <c r="M47" s="86"/>
      <c r="N47" s="86"/>
      <c r="O47" s="13"/>
      <c r="P47" s="13"/>
      <c r="Q47" s="13"/>
      <c r="R47" s="13"/>
    </row>
    <row r="48" spans="1:18" ht="20.25">
      <c r="A48" s="378" t="s">
        <v>441</v>
      </c>
      <c r="B48" s="63"/>
      <c r="C48" s="193"/>
      <c r="D48" s="380" t="s">
        <v>434</v>
      </c>
      <c r="E48" s="384">
        <v>2.1999999999999999E-2</v>
      </c>
      <c r="F48" s="380" t="s">
        <v>434</v>
      </c>
      <c r="H48" s="13"/>
      <c r="I48" s="13"/>
      <c r="J48" s="433"/>
      <c r="K48" s="430"/>
      <c r="L48" s="86"/>
      <c r="M48" s="86"/>
      <c r="N48" s="86"/>
      <c r="O48" s="13"/>
      <c r="P48" s="13"/>
      <c r="Q48" s="13"/>
      <c r="R48" s="13"/>
    </row>
    <row r="49" spans="1:18" ht="20.25">
      <c r="A49" s="381" t="s">
        <v>442</v>
      </c>
      <c r="B49" s="161"/>
      <c r="C49" s="194"/>
      <c r="D49" s="382">
        <v>0.02</v>
      </c>
      <c r="E49" s="382">
        <v>1.7999999999999999E-2</v>
      </c>
      <c r="F49" s="382">
        <f t="shared" si="0"/>
        <v>3.7999999999999999E-2</v>
      </c>
      <c r="H49" s="13"/>
      <c r="I49" s="13"/>
      <c r="J49" s="433"/>
      <c r="K49" s="434" t="s">
        <v>0</v>
      </c>
      <c r="L49" s="86"/>
      <c r="M49" s="86"/>
      <c r="N49" s="86"/>
      <c r="O49" s="13"/>
      <c r="P49" s="13"/>
      <c r="Q49" s="13"/>
      <c r="R49" s="13"/>
    </row>
    <row r="50" spans="1:18" ht="20.25">
      <c r="A50" s="110"/>
      <c r="B50" s="117"/>
      <c r="C50" s="117" t="s">
        <v>64</v>
      </c>
      <c r="D50" s="386">
        <f>MAX(D38:D49)</f>
        <v>2.4199999999999999E-2</v>
      </c>
      <c r="E50" s="386">
        <f>MAX(E38:E49)</f>
        <v>2.1999999999999999E-2</v>
      </c>
      <c r="F50" s="386">
        <f>MAX(F38:F49)</f>
        <v>4.4400000000000002E-2</v>
      </c>
      <c r="G50" s="237"/>
      <c r="H50" s="13"/>
      <c r="I50" s="13"/>
      <c r="L50" s="13"/>
      <c r="M50" s="13"/>
      <c r="N50" s="13"/>
      <c r="Q50" s="13"/>
      <c r="R50" s="13"/>
    </row>
    <row r="51" spans="1:18" ht="18.75" customHeight="1">
      <c r="A51" s="110"/>
      <c r="B51" s="117"/>
      <c r="C51" s="117" t="s">
        <v>65</v>
      </c>
      <c r="D51" s="386">
        <f>MIN(D38:D49)</f>
        <v>0.02</v>
      </c>
      <c r="E51" s="386">
        <f>MIN(E38:E49)</f>
        <v>1.7999999999999999E-2</v>
      </c>
      <c r="F51" s="387">
        <f>MIN(F38:F49)</f>
        <v>3.7999999999999999E-2</v>
      </c>
      <c r="G51" s="238"/>
      <c r="H51" s="13"/>
      <c r="I51" s="13"/>
      <c r="L51" s="13"/>
      <c r="M51" s="13"/>
      <c r="N51" s="13"/>
      <c r="O51" s="13"/>
      <c r="R51" s="13"/>
    </row>
    <row r="52" spans="1:18" ht="20.25">
      <c r="A52" s="110"/>
      <c r="B52" s="117"/>
      <c r="C52" s="117" t="s">
        <v>18</v>
      </c>
      <c r="D52" s="388">
        <f>MEDIAN(D38:D49)</f>
        <v>2.3E-2</v>
      </c>
      <c r="E52" s="388">
        <f>MEDIAN(E38:E49)</f>
        <v>2.01E-2</v>
      </c>
      <c r="F52" s="379">
        <f t="shared" ref="F52:F53" si="1">+D52+E52</f>
        <v>4.3099999999999999E-2</v>
      </c>
      <c r="G52" s="238"/>
      <c r="H52" s="13"/>
      <c r="I52" s="13"/>
      <c r="L52" s="13"/>
      <c r="M52" s="13"/>
      <c r="N52" s="13"/>
      <c r="O52" s="13"/>
      <c r="R52" s="13"/>
    </row>
    <row r="53" spans="1:18" ht="20.25">
      <c r="A53" s="110"/>
      <c r="B53" s="117"/>
      <c r="C53" s="117" t="s">
        <v>19</v>
      </c>
      <c r="D53" s="385">
        <f>AVERAGE(D38:D49)</f>
        <v>2.2845454545454544E-2</v>
      </c>
      <c r="E53" s="385">
        <f>AVERAGE(E38:E49)</f>
        <v>2.0011111111111108E-2</v>
      </c>
      <c r="F53" s="382">
        <f t="shared" si="1"/>
        <v>4.2856565656565648E-2</v>
      </c>
      <c r="G53" s="237"/>
      <c r="H53" s="13"/>
      <c r="I53" s="13"/>
      <c r="L53" s="13"/>
      <c r="M53" s="13"/>
      <c r="N53" s="13"/>
      <c r="O53" s="13"/>
      <c r="R53" s="13"/>
    </row>
    <row r="54" spans="1:18" ht="18.75">
      <c r="A54" s="13"/>
      <c r="B54" s="15"/>
      <c r="D54" s="206"/>
      <c r="E54" s="206"/>
      <c r="F54" s="206"/>
      <c r="G54" s="237"/>
      <c r="H54" s="13"/>
      <c r="I54" s="13"/>
      <c r="L54" s="13"/>
      <c r="M54" s="13"/>
      <c r="N54" s="13"/>
      <c r="O54" s="13"/>
    </row>
    <row r="55" spans="1:18" ht="16.5" customHeight="1" thickBot="1">
      <c r="A55" s="13"/>
      <c r="B55" s="15"/>
      <c r="D55" s="206"/>
      <c r="E55" s="206"/>
      <c r="F55" s="206"/>
      <c r="L55" s="13"/>
      <c r="M55" s="13"/>
      <c r="N55" s="13"/>
      <c r="O55" s="13"/>
    </row>
    <row r="56" spans="1:18" ht="27" thickBot="1">
      <c r="A56" s="13"/>
      <c r="B56" s="124"/>
      <c r="C56" s="49" t="s">
        <v>237</v>
      </c>
      <c r="D56" s="422">
        <v>2.2800000000000001E-2</v>
      </c>
      <c r="E56" s="422">
        <v>0.02</v>
      </c>
      <c r="F56" s="435">
        <v>4.2900000000000001E-2</v>
      </c>
      <c r="L56" s="13"/>
      <c r="M56" s="13"/>
      <c r="N56" s="13"/>
      <c r="O56" s="13"/>
    </row>
    <row r="57" spans="1:18" ht="16.5" customHeight="1">
      <c r="L57" s="13"/>
      <c r="N57" s="13"/>
    </row>
    <row r="58" spans="1:18" ht="16.5">
      <c r="A58" s="13"/>
      <c r="B58" s="13"/>
      <c r="C58" s="13"/>
      <c r="D58" s="13"/>
      <c r="E58" s="13"/>
      <c r="F58" s="13"/>
      <c r="G58" s="13"/>
      <c r="I58" s="13"/>
      <c r="L58" s="13"/>
      <c r="N58" s="13"/>
    </row>
    <row r="59" spans="1:18" ht="19.5" customHeight="1">
      <c r="A59" s="389" t="s">
        <v>443</v>
      </c>
      <c r="B59" s="390"/>
      <c r="C59" s="391"/>
      <c r="D59" s="13"/>
      <c r="E59" s="13"/>
      <c r="F59" s="13"/>
      <c r="I59" s="13"/>
      <c r="L59" s="13"/>
      <c r="M59" s="13"/>
      <c r="N59" s="13"/>
    </row>
    <row r="60" spans="1:18" ht="19.5" customHeight="1">
      <c r="A60" s="389" t="s">
        <v>497</v>
      </c>
      <c r="B60" s="390"/>
      <c r="C60" s="390"/>
      <c r="D60" s="390"/>
      <c r="E60" s="390"/>
      <c r="F60" s="390"/>
      <c r="G60" s="392"/>
      <c r="I60" s="13"/>
      <c r="L60" s="13"/>
      <c r="M60" s="13"/>
      <c r="N60" s="13"/>
    </row>
    <row r="61" spans="1:18" ht="19.5" customHeight="1">
      <c r="A61" s="393" t="s">
        <v>498</v>
      </c>
      <c r="B61" s="13"/>
      <c r="C61" s="13"/>
      <c r="D61" s="13"/>
      <c r="E61" s="13"/>
      <c r="F61" s="13"/>
      <c r="G61" s="394"/>
      <c r="I61" s="13"/>
      <c r="L61" s="13"/>
      <c r="M61" s="13"/>
      <c r="N61" s="13"/>
      <c r="O61" s="436"/>
    </row>
    <row r="62" spans="1:18" ht="19.5" customHeight="1">
      <c r="A62" s="393" t="s">
        <v>499</v>
      </c>
      <c r="B62" s="13"/>
      <c r="C62" s="13"/>
      <c r="D62" s="13"/>
      <c r="E62" s="13"/>
      <c r="F62" s="13"/>
      <c r="G62" s="394"/>
      <c r="I62" s="13"/>
      <c r="L62" s="13"/>
      <c r="M62" s="13"/>
      <c r="N62" s="13"/>
      <c r="O62" s="436"/>
      <c r="P62" s="86"/>
      <c r="Q62" s="13"/>
      <c r="R62" s="13"/>
    </row>
    <row r="63" spans="1:18" ht="19.5" customHeight="1">
      <c r="A63" s="395" t="s">
        <v>500</v>
      </c>
      <c r="B63" s="396"/>
      <c r="C63" s="396"/>
      <c r="D63" s="396"/>
      <c r="E63" s="396"/>
      <c r="F63" s="396"/>
      <c r="G63" s="397"/>
      <c r="I63" s="13"/>
      <c r="L63" s="13"/>
      <c r="M63" s="13"/>
      <c r="N63" s="13"/>
      <c r="O63" s="436"/>
      <c r="P63" s="86"/>
      <c r="Q63" s="13"/>
      <c r="R63" s="13"/>
    </row>
    <row r="64" spans="1:18" ht="17.25">
      <c r="A64" s="110"/>
      <c r="B64" s="13"/>
      <c r="C64" s="13"/>
      <c r="D64" s="13"/>
      <c r="E64" s="13"/>
      <c r="F64" s="13"/>
      <c r="I64" s="13"/>
      <c r="L64" s="13"/>
      <c r="M64" s="13"/>
      <c r="N64" s="13"/>
      <c r="O64" s="13"/>
      <c r="P64" s="13"/>
      <c r="Q64" s="13"/>
      <c r="R64" s="13"/>
    </row>
    <row r="65" spans="1:18" ht="15.6" customHeight="1">
      <c r="A65" s="398" t="s">
        <v>278</v>
      </c>
      <c r="B65" s="399"/>
      <c r="C65" s="390"/>
      <c r="D65" s="390"/>
      <c r="E65" s="390"/>
      <c r="F65" s="391"/>
      <c r="G65" s="13"/>
      <c r="I65" s="13"/>
      <c r="L65" s="13"/>
      <c r="M65" s="13"/>
      <c r="N65" s="13"/>
      <c r="O65" s="13"/>
      <c r="P65" s="13"/>
      <c r="Q65" s="13"/>
      <c r="R65" s="13"/>
    </row>
    <row r="66" spans="1:18" ht="15.6" customHeight="1">
      <c r="A66" s="160" t="s">
        <v>444</v>
      </c>
      <c r="B66" s="13"/>
      <c r="C66" s="13"/>
      <c r="E66" s="13"/>
      <c r="F66" s="293"/>
      <c r="G66" s="13"/>
      <c r="I66" s="13"/>
      <c r="L66" s="13"/>
      <c r="M66" s="13"/>
      <c r="N66" s="13"/>
      <c r="O66" s="13"/>
      <c r="P66" s="13"/>
      <c r="Q66" s="13"/>
      <c r="R66" s="13"/>
    </row>
    <row r="67" spans="1:18" ht="15.6" customHeight="1">
      <c r="A67" s="400" t="s">
        <v>279</v>
      </c>
      <c r="B67" s="396"/>
      <c r="C67" s="396"/>
      <c r="D67" s="396"/>
      <c r="E67" s="396"/>
      <c r="F67" s="294"/>
      <c r="G67" s="13"/>
      <c r="I67" s="13" t="s">
        <v>0</v>
      </c>
      <c r="L67" s="13"/>
      <c r="M67" s="13"/>
      <c r="N67" s="13"/>
      <c r="O67" s="13"/>
      <c r="P67" s="13"/>
      <c r="Q67" s="13"/>
      <c r="R67" s="13"/>
    </row>
    <row r="68" spans="1:18" ht="16.5">
      <c r="A68" s="350"/>
      <c r="B68" s="13"/>
      <c r="C68" s="13"/>
      <c r="D68" s="13"/>
      <c r="E68" s="13"/>
      <c r="F68" s="13"/>
      <c r="G68" s="13"/>
      <c r="I68" s="13"/>
      <c r="L68" s="13"/>
      <c r="M68" s="13"/>
      <c r="N68" s="13"/>
      <c r="O68" s="13"/>
      <c r="P68" s="13"/>
      <c r="Q68" s="13"/>
      <c r="R68" s="13"/>
    </row>
    <row r="69" spans="1:18" ht="17.25">
      <c r="A69" s="138" t="s">
        <v>445</v>
      </c>
      <c r="B69" s="126"/>
      <c r="C69" s="126"/>
      <c r="D69" s="126"/>
      <c r="E69" s="127"/>
      <c r="F69" s="126"/>
      <c r="G69" s="126"/>
      <c r="H69" s="126"/>
      <c r="I69" s="13"/>
      <c r="L69" s="13"/>
      <c r="M69" s="13"/>
      <c r="N69" s="13"/>
      <c r="O69" s="13"/>
      <c r="P69" s="13"/>
      <c r="Q69" s="13"/>
      <c r="R69" s="13"/>
    </row>
    <row r="70" spans="1:18" ht="17.25">
      <c r="A70" s="138"/>
      <c r="B70" s="126"/>
      <c r="C70" s="126"/>
      <c r="D70" s="126"/>
      <c r="E70" s="127"/>
      <c r="F70" s="126"/>
      <c r="G70" s="126"/>
      <c r="H70" s="126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6.5">
      <c r="A71" s="401" t="s">
        <v>446</v>
      </c>
      <c r="B71" s="126"/>
      <c r="C71" s="126"/>
      <c r="D71" s="126"/>
      <c r="E71" s="127"/>
      <c r="F71" s="126"/>
      <c r="G71" s="126"/>
      <c r="H71" s="126"/>
      <c r="I71" s="13"/>
    </row>
    <row r="72" spans="1:18" ht="16.5">
      <c r="A72" s="402" t="s">
        <v>501</v>
      </c>
      <c r="B72" s="126"/>
      <c r="C72" s="126"/>
      <c r="D72" s="126"/>
      <c r="E72" s="127"/>
      <c r="F72" s="126"/>
      <c r="G72" s="126"/>
      <c r="H72" s="126"/>
      <c r="I72" s="13"/>
    </row>
    <row r="73" spans="1:18" ht="16.5">
      <c r="A73" s="142" t="s">
        <v>388</v>
      </c>
      <c r="B73" s="404"/>
      <c r="C73" s="126"/>
      <c r="D73" s="126"/>
      <c r="E73" s="127"/>
      <c r="F73" s="126"/>
      <c r="G73" s="126"/>
      <c r="H73" s="126"/>
      <c r="I73" s="13"/>
    </row>
    <row r="74" spans="1:18" ht="16.5">
      <c r="A74" s="142" t="s">
        <v>508</v>
      </c>
      <c r="B74" s="126"/>
      <c r="C74" s="126"/>
      <c r="D74" s="126"/>
      <c r="E74" s="127"/>
      <c r="F74" s="126"/>
      <c r="G74" s="126"/>
      <c r="H74" s="126"/>
      <c r="I74" s="13"/>
    </row>
    <row r="75" spans="1:18">
      <c r="A75" s="142"/>
    </row>
    <row r="76" spans="1:18" ht="16.5">
      <c r="A76" s="401" t="s">
        <v>447</v>
      </c>
    </row>
    <row r="77" spans="1:18">
      <c r="A77" s="405" t="s">
        <v>490</v>
      </c>
    </row>
    <row r="78" spans="1:18" ht="16.5">
      <c r="A78" s="405" t="s">
        <v>491</v>
      </c>
      <c r="B78" s="370"/>
    </row>
    <row r="79" spans="1:18" ht="16.5">
      <c r="A79" s="441" t="s">
        <v>173</v>
      </c>
      <c r="B79" s="126"/>
      <c r="C79" s="126"/>
      <c r="D79" s="126"/>
      <c r="E79" s="127"/>
      <c r="F79" s="126"/>
      <c r="G79" s="126"/>
      <c r="H79" s="126"/>
      <c r="I79" s="13"/>
    </row>
    <row r="80" spans="1:18" ht="16.5">
      <c r="A80" s="125"/>
      <c r="B80" s="126"/>
      <c r="C80" s="126"/>
      <c r="D80" s="126"/>
      <c r="E80" s="127"/>
      <c r="F80" s="126"/>
      <c r="G80" s="126"/>
      <c r="H80" s="126"/>
      <c r="I80" s="13"/>
    </row>
    <row r="81" spans="1:9" ht="16.5">
      <c r="A81" s="401" t="s">
        <v>448</v>
      </c>
      <c r="B81" s="126"/>
      <c r="C81" s="126"/>
      <c r="D81" s="126"/>
      <c r="E81" s="127"/>
      <c r="F81" s="126"/>
      <c r="G81" s="126"/>
      <c r="H81" s="126"/>
      <c r="I81" s="13"/>
    </row>
    <row r="82" spans="1:9" ht="16.5">
      <c r="A82" s="405" t="s">
        <v>483</v>
      </c>
      <c r="B82" s="404"/>
      <c r="C82" s="404"/>
      <c r="D82" s="126"/>
      <c r="E82" s="127"/>
      <c r="F82" s="126"/>
      <c r="G82" s="126"/>
      <c r="H82" s="126"/>
      <c r="I82" s="13"/>
    </row>
    <row r="83" spans="1:9" ht="16.5">
      <c r="A83" s="441" t="s">
        <v>174</v>
      </c>
      <c r="B83" s="126"/>
      <c r="C83" s="126"/>
      <c r="D83" s="126"/>
      <c r="E83" s="127"/>
      <c r="F83" s="126"/>
      <c r="G83" s="126"/>
      <c r="H83" s="126"/>
      <c r="I83" s="13"/>
    </row>
    <row r="84" spans="1:9" ht="16.5">
      <c r="A84" s="142"/>
      <c r="B84" s="126"/>
      <c r="C84" s="126"/>
      <c r="D84" s="126"/>
      <c r="E84" s="127"/>
      <c r="F84" s="126"/>
      <c r="G84" s="126"/>
      <c r="H84" s="126"/>
      <c r="I84" s="13"/>
    </row>
    <row r="85" spans="1:9" ht="16.5">
      <c r="A85" s="401" t="s">
        <v>449</v>
      </c>
      <c r="B85" s="126"/>
      <c r="D85" s="126" t="s">
        <v>0</v>
      </c>
      <c r="E85" s="127"/>
      <c r="F85" s="126"/>
      <c r="G85" s="126"/>
      <c r="H85" s="126"/>
      <c r="I85" s="13"/>
    </row>
    <row r="86" spans="1:9" ht="16.5">
      <c r="A86" s="408" t="s">
        <v>484</v>
      </c>
      <c r="G86" s="126"/>
      <c r="H86" s="126"/>
      <c r="I86" s="126"/>
    </row>
    <row r="87" spans="1:9" ht="16.5">
      <c r="A87" s="403" t="s">
        <v>450</v>
      </c>
      <c r="C87" s="126"/>
      <c r="E87" s="127"/>
      <c r="F87" s="126"/>
      <c r="G87" s="126"/>
      <c r="H87" s="126"/>
      <c r="I87" s="13"/>
    </row>
    <row r="88" spans="1:9" ht="16.5">
      <c r="A88" s="407" t="s">
        <v>485</v>
      </c>
      <c r="B88" s="407"/>
      <c r="C88" s="126"/>
      <c r="D88" s="407"/>
      <c r="E88" s="127"/>
      <c r="F88" s="126"/>
      <c r="G88" s="126"/>
      <c r="H88" s="126"/>
      <c r="I88" s="13"/>
    </row>
    <row r="89" spans="1:9" ht="16.5">
      <c r="A89" s="441" t="s">
        <v>486</v>
      </c>
      <c r="B89" s="407"/>
      <c r="C89" s="126"/>
      <c r="D89" s="407"/>
      <c r="E89" s="127"/>
      <c r="F89" s="126"/>
      <c r="G89" s="126"/>
      <c r="H89" s="126"/>
      <c r="I89" s="13"/>
    </row>
    <row r="90" spans="1:9" ht="16.5">
      <c r="A90" s="441" t="s">
        <v>451</v>
      </c>
      <c r="B90" s="126"/>
      <c r="C90" s="126"/>
      <c r="D90" s="126"/>
      <c r="E90" s="127"/>
      <c r="F90" s="126"/>
      <c r="G90" s="126"/>
      <c r="H90" s="126"/>
      <c r="I90" s="13"/>
    </row>
    <row r="91" spans="1:9" ht="16.5">
      <c r="A91" s="142"/>
      <c r="B91" s="126"/>
      <c r="D91" s="126"/>
      <c r="E91" s="127"/>
      <c r="F91" s="126"/>
      <c r="G91" s="126"/>
      <c r="H91" s="126"/>
      <c r="I91" s="13"/>
    </row>
    <row r="92" spans="1:9" ht="16.5">
      <c r="A92" s="401" t="s">
        <v>452</v>
      </c>
      <c r="B92" s="126"/>
      <c r="D92" s="126"/>
      <c r="E92" s="127"/>
      <c r="F92" s="126"/>
      <c r="G92" s="126"/>
      <c r="H92" s="126"/>
      <c r="I92" s="13"/>
    </row>
    <row r="93" spans="1:9" ht="16.5">
      <c r="A93" s="405" t="s">
        <v>487</v>
      </c>
      <c r="B93" s="126"/>
      <c r="D93" s="126"/>
      <c r="E93" s="127"/>
      <c r="F93" s="126"/>
      <c r="G93" s="126"/>
      <c r="H93" s="126"/>
      <c r="I93" s="13"/>
    </row>
    <row r="94" spans="1:9" ht="16.5">
      <c r="A94" s="441" t="s">
        <v>453</v>
      </c>
      <c r="B94" s="126"/>
      <c r="C94" s="126"/>
      <c r="D94" s="126"/>
      <c r="E94" s="127"/>
      <c r="F94" s="126"/>
      <c r="G94" s="126"/>
      <c r="H94" s="126"/>
      <c r="I94" s="13"/>
    </row>
    <row r="95" spans="1:9" ht="16.5">
      <c r="A95" s="406"/>
      <c r="C95" s="126"/>
      <c r="D95" s="126"/>
      <c r="E95" s="127"/>
      <c r="F95" s="126"/>
      <c r="G95" s="126"/>
      <c r="H95" s="126"/>
      <c r="I95" s="13"/>
    </row>
    <row r="96" spans="1:9" ht="16.5">
      <c r="A96" s="401" t="s">
        <v>454</v>
      </c>
      <c r="B96" s="126"/>
      <c r="C96" s="126"/>
      <c r="D96" s="126"/>
      <c r="E96" s="127"/>
      <c r="F96" s="126"/>
      <c r="G96" s="126"/>
      <c r="H96" s="126"/>
      <c r="I96" s="13"/>
    </row>
    <row r="97" spans="1:9" ht="16.5">
      <c r="A97" s="409" t="s">
        <v>492</v>
      </c>
      <c r="B97" s="126"/>
      <c r="C97" s="126"/>
      <c r="D97" s="126"/>
      <c r="E97" s="127"/>
      <c r="F97" s="126"/>
      <c r="G97" s="126"/>
      <c r="H97" s="126"/>
      <c r="I97" s="13"/>
    </row>
    <row r="98" spans="1:9" ht="16.5">
      <c r="A98" s="410" t="s">
        <v>455</v>
      </c>
      <c r="B98" s="411"/>
      <c r="C98" s="126"/>
      <c r="D98" s="126"/>
      <c r="E98" s="127"/>
      <c r="F98" s="126"/>
      <c r="G98" s="126"/>
      <c r="H98" s="126"/>
      <c r="I98" s="13"/>
    </row>
    <row r="99" spans="1:9" ht="16.5">
      <c r="A99" s="441" t="s">
        <v>456</v>
      </c>
      <c r="B99" s="126"/>
      <c r="C99" s="126"/>
      <c r="D99" s="126"/>
      <c r="E99" s="127"/>
      <c r="F99" s="126"/>
      <c r="G99" s="126"/>
      <c r="H99" s="126"/>
      <c r="I99" s="13"/>
    </row>
    <row r="100" spans="1:9" ht="16.5">
      <c r="A100" s="412"/>
      <c r="B100" s="126"/>
      <c r="C100" s="126"/>
      <c r="D100" s="126"/>
      <c r="E100" s="127"/>
      <c r="F100" s="126"/>
      <c r="G100" s="126"/>
      <c r="H100" s="126"/>
      <c r="I100" s="13"/>
    </row>
    <row r="101" spans="1:9" ht="16.5">
      <c r="A101" s="401" t="s">
        <v>457</v>
      </c>
      <c r="B101" s="126"/>
      <c r="C101" s="126"/>
      <c r="D101" s="126"/>
      <c r="E101" s="127"/>
      <c r="F101" s="126"/>
      <c r="G101" s="126"/>
      <c r="H101" s="126"/>
      <c r="I101" s="13"/>
    </row>
    <row r="102" spans="1:9" ht="16.5">
      <c r="A102" s="409" t="s">
        <v>492</v>
      </c>
      <c r="B102" s="126"/>
      <c r="C102" s="126"/>
      <c r="D102" s="126"/>
      <c r="E102" s="127"/>
      <c r="F102" s="126"/>
      <c r="G102" s="126"/>
      <c r="H102" s="126"/>
      <c r="I102" s="13"/>
    </row>
    <row r="103" spans="1:9" ht="16.5">
      <c r="A103" s="410" t="s">
        <v>502</v>
      </c>
      <c r="B103" s="126"/>
      <c r="C103" s="126"/>
      <c r="D103" s="126"/>
      <c r="E103" s="127"/>
      <c r="F103" s="126"/>
      <c r="G103" s="126"/>
      <c r="H103" s="126"/>
      <c r="I103" s="13"/>
    </row>
    <row r="104" spans="1:9" ht="16.5">
      <c r="A104" s="407" t="s">
        <v>493</v>
      </c>
      <c r="B104" s="126"/>
      <c r="C104" s="126"/>
      <c r="D104" s="126"/>
      <c r="E104" s="127"/>
      <c r="F104" s="126"/>
      <c r="G104" s="126"/>
      <c r="H104" s="126"/>
      <c r="I104" s="13"/>
    </row>
    <row r="105" spans="1:9">
      <c r="A105" s="412"/>
    </row>
    <row r="106" spans="1:9" ht="16.5">
      <c r="A106" s="371" t="s">
        <v>465</v>
      </c>
    </row>
    <row r="107" spans="1:9" ht="16.5">
      <c r="A107" s="407" t="s">
        <v>466</v>
      </c>
    </row>
    <row r="108" spans="1:9">
      <c r="A108" s="441" t="s">
        <v>507</v>
      </c>
    </row>
  </sheetData>
  <hyperlinks>
    <hyperlink ref="A73" r:id="rId1" xr:uid="{26D6D54B-980E-4180-8424-1C24B0BBB370}"/>
    <hyperlink ref="A79" r:id="rId2" xr:uid="{BDF4C5BF-6FCC-4CE7-BEBC-89E71724C1F5}"/>
    <hyperlink ref="A83" r:id="rId3" xr:uid="{377906A0-9CC3-456F-81CD-CB030A602A29}"/>
    <hyperlink ref="A94" r:id="rId4" xr:uid="{87A40164-F7EE-4D60-8146-1241662E788D}"/>
    <hyperlink ref="A99" r:id="rId5" xr:uid="{EFDC098B-9FA2-4777-9F1B-46CE3513FBF2}"/>
    <hyperlink ref="A104" r:id="rId6" display="https://www.federalreserve.gov/monetarypolicy/files/fomcprojtabl20241218.pd" xr:uid="{CE788AB7-E5FB-4B4F-AAFF-5A692C8A6852}"/>
    <hyperlink ref="A89" r:id="rId7" xr:uid="{33429153-0ADE-43A2-80B2-89CDBB81B1CC}"/>
    <hyperlink ref="A88" r:id="rId8" display="https://www.cbo.gov/system/files/2025-01/60870-Outlook-2025.pdf" xr:uid="{8B345E62-F469-4195-9831-40A198BD0DA1}"/>
    <hyperlink ref="A90" r:id="rId9" xr:uid="{F0E4ADD0-BF41-4F91-8E7C-2C486808D2E8}"/>
    <hyperlink ref="A87" r:id="rId10" location="4" display="https://www.cbo.gov/data/budget-economic-data - 4" xr:uid="{D58E54D7-BBA6-414F-ABF7-602834019F91}"/>
    <hyperlink ref="A67" r:id="rId11" xr:uid="{74D517AE-700C-4871-A3BD-89C21D677635}"/>
    <hyperlink ref="A107" r:id="rId12" xr:uid="{886113C2-1CE3-4DC7-B371-B24980527196}"/>
    <hyperlink ref="A108" r:id="rId13" xr:uid="{BFB73A0A-BE34-4254-9735-5F41D35BD676}"/>
    <hyperlink ref="A74" r:id="rId14" xr:uid="{B156E52F-45AA-4B55-9632-EA982A9CB1A2}"/>
  </hyperlinks>
  <pageMargins left="0.25" right="0.25" top="0.75" bottom="0.75" header="0.3" footer="0.3"/>
  <pageSetup scale="27" fitToWidth="0" orientation="portrait" r:id="rId1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4C5F-277C-4B9C-9271-640BB89134E7}">
  <sheetPr>
    <tabColor rgb="FF92D050"/>
    <pageSetUpPr fitToPage="1"/>
  </sheetPr>
  <dimension ref="A1:I105"/>
  <sheetViews>
    <sheetView view="pageBreakPreview" topLeftCell="A21" zoomScale="70" zoomScaleNormal="80" zoomScaleSheetLayoutView="70" workbookViewId="0">
      <selection activeCell="C53" sqref="C53"/>
    </sheetView>
  </sheetViews>
  <sheetFormatPr defaultRowHeight="15"/>
  <cols>
    <col min="1" max="1" width="45.5703125" customWidth="1"/>
    <col min="2" max="2" width="22.5703125" customWidth="1"/>
    <col min="3" max="3" width="72.140625" customWidth="1"/>
    <col min="4" max="4" width="34.5703125" customWidth="1"/>
    <col min="5" max="5" width="21.5703125" customWidth="1"/>
    <col min="6" max="6" width="17" customWidth="1"/>
    <col min="7" max="7" width="24.85546875" customWidth="1"/>
    <col min="8" max="8" width="18" customWidth="1"/>
    <col min="9" max="9" width="20.85546875" customWidth="1"/>
    <col min="10" max="10" width="19" customWidth="1"/>
    <col min="11" max="11" width="17.42578125" customWidth="1"/>
    <col min="12" max="12" width="24.140625" customWidth="1"/>
  </cols>
  <sheetData>
    <row r="1" spans="1:9" ht="26.25">
      <c r="A1" s="25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7.25">
      <c r="A2" s="63" t="s">
        <v>9</v>
      </c>
      <c r="B2" s="13"/>
      <c r="C2" s="13"/>
      <c r="D2" s="13"/>
      <c r="E2" s="13"/>
      <c r="F2" s="13"/>
      <c r="G2" s="13"/>
      <c r="H2" s="13"/>
      <c r="I2" s="13"/>
    </row>
    <row r="3" spans="1:9" ht="16.5">
      <c r="A3" s="27" t="s">
        <v>475</v>
      </c>
      <c r="B3" s="13"/>
      <c r="C3" s="13"/>
      <c r="D3" s="13"/>
      <c r="E3" s="13"/>
      <c r="F3" s="13"/>
      <c r="G3" s="13"/>
      <c r="H3" s="13"/>
      <c r="I3" s="13"/>
    </row>
    <row r="4" spans="1:9" ht="16.5">
      <c r="A4" s="13"/>
      <c r="B4" s="13"/>
      <c r="C4" s="13"/>
      <c r="D4" s="13"/>
      <c r="E4" s="13"/>
      <c r="F4" s="13"/>
      <c r="G4" s="13"/>
      <c r="H4" s="13"/>
      <c r="I4" s="13"/>
    </row>
    <row r="5" spans="1:9" ht="18" thickBot="1">
      <c r="A5" s="63"/>
      <c r="B5" s="13"/>
      <c r="C5" s="13"/>
      <c r="D5" s="13"/>
      <c r="E5" s="13"/>
      <c r="F5" s="13"/>
      <c r="G5" s="13"/>
      <c r="H5" s="13"/>
      <c r="I5" s="13"/>
    </row>
    <row r="6" spans="1:9" ht="21" thickBot="1">
      <c r="A6" s="240" t="str">
        <f>+'S&amp;D'!A12</f>
        <v>Electric Utilities</v>
      </c>
      <c r="B6" s="177"/>
      <c r="C6" s="13"/>
      <c r="D6" s="13"/>
      <c r="E6" s="13"/>
      <c r="F6" s="13"/>
      <c r="G6" s="13"/>
      <c r="H6" s="13"/>
      <c r="I6" s="13"/>
    </row>
    <row r="7" spans="1:9" ht="30.75" customHeight="1" thickBot="1">
      <c r="A7" s="63"/>
      <c r="B7" s="13"/>
      <c r="C7" s="30"/>
      <c r="E7" s="13"/>
      <c r="F7" s="13"/>
      <c r="G7" s="13"/>
      <c r="H7" s="13"/>
      <c r="I7" s="13"/>
    </row>
    <row r="8" spans="1:9" ht="26.25">
      <c r="B8" s="13"/>
      <c r="C8" s="32" t="s">
        <v>181</v>
      </c>
      <c r="E8" s="13"/>
      <c r="F8" s="13"/>
      <c r="G8" s="13"/>
      <c r="H8" s="13"/>
      <c r="I8" s="13"/>
    </row>
    <row r="9" spans="1:9" ht="21" thickBot="1">
      <c r="A9" s="31"/>
      <c r="B9" s="13"/>
      <c r="C9" s="33" t="s">
        <v>488</v>
      </c>
      <c r="E9" s="13"/>
      <c r="F9" s="13"/>
      <c r="G9" s="13"/>
      <c r="H9" s="13"/>
      <c r="I9" s="13"/>
    </row>
    <row r="10" spans="1:9" ht="20.25">
      <c r="A10" s="31"/>
      <c r="B10" s="13"/>
      <c r="C10" s="13"/>
      <c r="D10" s="13"/>
      <c r="E10" s="13"/>
      <c r="F10" s="13"/>
      <c r="G10" s="13"/>
      <c r="H10" s="13"/>
      <c r="I10" s="13"/>
    </row>
    <row r="11" spans="1:9" ht="27.75" customHeight="1" thickBot="1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16.5">
      <c r="A12" s="13"/>
      <c r="B12" s="13"/>
      <c r="C12" s="79" t="s">
        <v>0</v>
      </c>
      <c r="D12" s="79" t="s">
        <v>215</v>
      </c>
      <c r="E12" s="13"/>
      <c r="F12" s="13"/>
      <c r="G12" s="13"/>
      <c r="H12" s="13"/>
      <c r="I12" s="13"/>
    </row>
    <row r="13" spans="1:9" ht="21" thickBot="1">
      <c r="A13" s="13"/>
      <c r="B13" s="13"/>
      <c r="C13" s="306" t="s">
        <v>180</v>
      </c>
      <c r="D13" s="81" t="s">
        <v>291</v>
      </c>
      <c r="E13" s="13"/>
      <c r="F13" s="13"/>
      <c r="G13" s="13"/>
      <c r="H13" s="13"/>
      <c r="I13" s="13"/>
    </row>
    <row r="14" spans="1:9" ht="17.25">
      <c r="A14" s="13"/>
      <c r="B14" s="13"/>
      <c r="C14" s="310" t="s">
        <v>396</v>
      </c>
      <c r="D14" s="311">
        <f>+CAPM!F16</f>
        <v>7.0737999999999995E-2</v>
      </c>
      <c r="E14" s="312"/>
      <c r="F14" s="13"/>
      <c r="G14" s="13"/>
      <c r="H14" s="13"/>
      <c r="I14" s="13"/>
    </row>
    <row r="15" spans="1:9" ht="17.25">
      <c r="A15" s="13"/>
      <c r="B15" s="13"/>
      <c r="C15" s="245" t="s">
        <v>397</v>
      </c>
      <c r="D15" s="313">
        <f>+CAPM!F17</f>
        <v>7.1045999999999998E-2</v>
      </c>
      <c r="E15" s="312"/>
      <c r="F15" s="13"/>
      <c r="G15" s="13"/>
      <c r="H15" s="13"/>
      <c r="I15" s="13"/>
    </row>
    <row r="16" spans="1:9" ht="17.25">
      <c r="A16" s="13"/>
      <c r="B16" s="13"/>
      <c r="C16" s="245" t="s">
        <v>409</v>
      </c>
      <c r="D16" s="313">
        <f>+CAPM!F19</f>
        <v>8.0670999999999993E-2</v>
      </c>
      <c r="E16" s="312"/>
      <c r="F16" s="13"/>
      <c r="G16" s="13"/>
      <c r="H16" s="13"/>
      <c r="I16" s="13"/>
    </row>
    <row r="17" spans="1:9" ht="17.25">
      <c r="A17" s="13"/>
      <c r="B17" s="13"/>
      <c r="C17" s="245" t="s">
        <v>428</v>
      </c>
      <c r="D17" s="313">
        <f>+CAPM!F20</f>
        <v>9.5685999999999993E-2</v>
      </c>
      <c r="E17" s="312"/>
      <c r="F17" s="13"/>
      <c r="G17" s="13"/>
      <c r="H17" s="13"/>
      <c r="I17" s="13"/>
    </row>
    <row r="18" spans="1:9" ht="17.25">
      <c r="A18" s="13"/>
      <c r="B18" s="13"/>
      <c r="C18" s="245" t="s">
        <v>407</v>
      </c>
      <c r="D18" s="313">
        <f>+CAPM!F21</f>
        <v>7.8591999999999995E-2</v>
      </c>
      <c r="E18" s="312"/>
      <c r="F18" s="13"/>
      <c r="G18" s="13"/>
      <c r="H18" s="13"/>
      <c r="I18" s="13"/>
    </row>
    <row r="19" spans="1:9" ht="17.25">
      <c r="A19" s="13"/>
      <c r="B19" s="13"/>
      <c r="C19" s="245" t="s">
        <v>408</v>
      </c>
      <c r="D19" s="313">
        <f>+CAPM!F22</f>
        <v>7.5974E-2</v>
      </c>
      <c r="E19" s="312"/>
      <c r="F19" s="13"/>
      <c r="G19" s="13"/>
      <c r="H19" s="13"/>
      <c r="I19" s="13"/>
    </row>
    <row r="20" spans="1:9" ht="17.25">
      <c r="A20" s="13"/>
      <c r="B20" s="13"/>
      <c r="C20" s="245" t="s">
        <v>182</v>
      </c>
      <c r="D20" s="313">
        <f>+CAPM!F24</f>
        <v>9.1296999999999989E-2</v>
      </c>
      <c r="E20" s="312"/>
      <c r="F20" s="13"/>
      <c r="G20" s="13"/>
      <c r="H20" s="13"/>
      <c r="I20" s="13"/>
    </row>
    <row r="21" spans="1:9" ht="17.25">
      <c r="A21" s="13"/>
      <c r="B21" s="13"/>
      <c r="C21" s="245" t="s">
        <v>183</v>
      </c>
      <c r="D21" s="313">
        <f>+CAPM!F26</f>
        <v>9.0450000000000003E-2</v>
      </c>
      <c r="E21" s="312"/>
      <c r="F21" s="13"/>
      <c r="G21" s="13"/>
      <c r="H21" s="13"/>
      <c r="I21" s="13"/>
    </row>
    <row r="22" spans="1:9" ht="17.25">
      <c r="A22" s="13"/>
      <c r="B22" s="13"/>
      <c r="C22" s="325" t="s">
        <v>184</v>
      </c>
      <c r="D22" s="313">
        <f>+CAPM!F28</f>
        <v>0.10030600000000001</v>
      </c>
      <c r="E22" s="312"/>
      <c r="F22" s="13"/>
      <c r="G22" s="13"/>
      <c r="H22" s="13"/>
      <c r="I22" s="13"/>
    </row>
    <row r="23" spans="1:9" ht="17.25">
      <c r="A23" s="13"/>
      <c r="B23" s="13"/>
      <c r="C23" s="325" t="s">
        <v>185</v>
      </c>
      <c r="D23" s="313">
        <f>+CAPM!F29</f>
        <v>9.0758000000000005E-2</v>
      </c>
      <c r="E23" s="348"/>
      <c r="G23" s="13"/>
      <c r="H23" s="13"/>
      <c r="I23" s="13"/>
    </row>
    <row r="24" spans="1:9" ht="17.25">
      <c r="A24" s="13"/>
      <c r="B24" s="13"/>
      <c r="C24" s="328" t="s">
        <v>419</v>
      </c>
      <c r="D24" s="324">
        <f>+CAPM!F31</f>
        <v>0.104849</v>
      </c>
      <c r="E24" s="314"/>
      <c r="F24" s="13"/>
      <c r="G24" s="13"/>
      <c r="H24" s="13"/>
      <c r="I24" s="13"/>
    </row>
    <row r="25" spans="1:9" ht="17.25">
      <c r="A25" s="13"/>
      <c r="B25" s="13"/>
      <c r="C25" s="328" t="s">
        <v>420</v>
      </c>
      <c r="D25" s="324">
        <f>+CAPM!F32</f>
        <v>9.6686999999999995E-2</v>
      </c>
      <c r="E25" s="314"/>
      <c r="F25" s="13"/>
      <c r="G25" s="13"/>
      <c r="H25" s="13"/>
      <c r="I25" s="13"/>
    </row>
    <row r="26" spans="1:9" ht="17.25">
      <c r="A26" s="13"/>
      <c r="B26" s="13"/>
      <c r="C26" s="328" t="s">
        <v>421</v>
      </c>
      <c r="D26" s="324">
        <f>+CAPM!F33</f>
        <v>8.660000000000001E-2</v>
      </c>
      <c r="E26" s="314"/>
      <c r="F26" s="13"/>
      <c r="G26" s="13"/>
      <c r="H26" s="13"/>
      <c r="I26" s="13"/>
    </row>
    <row r="27" spans="1:9" ht="17.25">
      <c r="A27" s="13"/>
      <c r="B27" s="13"/>
      <c r="C27" s="325" t="s">
        <v>398</v>
      </c>
      <c r="D27" s="324">
        <f>+CAPM!G42</f>
        <v>7.2428499999999993E-2</v>
      </c>
      <c r="E27" s="312"/>
      <c r="F27" s="13"/>
      <c r="G27" s="13"/>
      <c r="H27" s="13"/>
      <c r="I27" s="13"/>
    </row>
    <row r="28" spans="1:9" ht="17.25">
      <c r="A28" s="13"/>
      <c r="B28" s="13"/>
      <c r="C28" s="325" t="s">
        <v>399</v>
      </c>
      <c r="D28" s="324">
        <f>+CAPM!G43</f>
        <v>7.2759500000000005E-2</v>
      </c>
      <c r="E28" s="312"/>
      <c r="F28" s="13"/>
      <c r="G28" s="13"/>
      <c r="H28" s="13"/>
      <c r="I28" s="13"/>
    </row>
    <row r="29" spans="1:9" ht="17.25">
      <c r="A29" s="13"/>
      <c r="B29" s="13"/>
      <c r="C29" s="245" t="s">
        <v>410</v>
      </c>
      <c r="D29" s="324">
        <f>+CAPM!G45</f>
        <v>8.310324999999999E-2</v>
      </c>
      <c r="E29" s="312"/>
      <c r="F29" s="13"/>
      <c r="G29" s="13"/>
      <c r="H29" s="13"/>
      <c r="I29" s="13"/>
    </row>
    <row r="30" spans="1:9" ht="17.25">
      <c r="A30" s="13"/>
      <c r="B30" s="13"/>
      <c r="C30" s="245" t="s">
        <v>427</v>
      </c>
      <c r="D30" s="324">
        <f>+CAPM!G46</f>
        <v>9.9239499999999994E-2</v>
      </c>
      <c r="E30" s="312"/>
      <c r="F30" s="13"/>
      <c r="G30" s="13"/>
      <c r="H30" s="13"/>
      <c r="I30" s="13"/>
    </row>
    <row r="31" spans="1:9" ht="17.25">
      <c r="A31" s="13"/>
      <c r="B31" s="13"/>
      <c r="C31" s="245" t="s">
        <v>411</v>
      </c>
      <c r="D31" s="324">
        <f>+CAPM!G47</f>
        <v>8.0868999999999996E-2</v>
      </c>
      <c r="E31" s="312"/>
      <c r="F31" s="13"/>
      <c r="G31" s="13"/>
      <c r="H31" s="13"/>
      <c r="I31" s="13"/>
    </row>
    <row r="32" spans="1:9" ht="17.25">
      <c r="A32" s="13"/>
      <c r="B32" s="13"/>
      <c r="C32" s="245" t="s">
        <v>412</v>
      </c>
      <c r="D32" s="324">
        <f>+CAPM!G48</f>
        <v>7.80555E-2</v>
      </c>
      <c r="E32" s="312"/>
      <c r="F32" s="13"/>
      <c r="G32" s="13"/>
      <c r="H32" s="13"/>
      <c r="I32" s="13"/>
    </row>
    <row r="33" spans="1:9" ht="17.25">
      <c r="A33" s="13"/>
      <c r="B33" s="13"/>
      <c r="C33" s="325" t="s">
        <v>186</v>
      </c>
      <c r="D33" s="324">
        <f>+CAPM!G50</f>
        <v>9.4522749999999989E-2</v>
      </c>
      <c r="E33" s="312"/>
      <c r="F33" s="13"/>
      <c r="G33" s="13"/>
      <c r="H33" s="13"/>
      <c r="I33" s="13"/>
    </row>
    <row r="34" spans="1:9" ht="17.25">
      <c r="A34" s="13"/>
      <c r="B34" s="13"/>
      <c r="C34" s="325" t="s">
        <v>187</v>
      </c>
      <c r="D34" s="324">
        <f>+CAPM!G52</f>
        <v>9.3612499999999987E-2</v>
      </c>
      <c r="E34" s="312"/>
      <c r="F34" s="13"/>
      <c r="G34" s="13"/>
      <c r="H34" s="13"/>
      <c r="I34" s="13"/>
    </row>
    <row r="35" spans="1:9" ht="17.25">
      <c r="A35" s="13"/>
      <c r="B35" s="13"/>
      <c r="C35" s="326" t="s">
        <v>188</v>
      </c>
      <c r="D35" s="324">
        <f>+CAPM!G54</f>
        <v>0.10420450000000001</v>
      </c>
      <c r="E35" s="312"/>
      <c r="F35" s="13"/>
      <c r="G35" s="13"/>
      <c r="H35" s="13"/>
      <c r="I35" s="13"/>
    </row>
    <row r="36" spans="1:9" ht="17.25">
      <c r="A36" s="13"/>
      <c r="B36" s="13"/>
      <c r="C36" s="325" t="s">
        <v>189</v>
      </c>
      <c r="D36" s="324">
        <f>+CAPM!G55</f>
        <v>9.3943499999999999E-2</v>
      </c>
      <c r="E36" s="312"/>
      <c r="F36" s="13"/>
      <c r="G36" s="13"/>
      <c r="H36" s="13"/>
      <c r="I36" s="13"/>
    </row>
    <row r="37" spans="1:9" ht="16.5" customHeight="1">
      <c r="A37" s="13"/>
      <c r="B37" s="13"/>
      <c r="C37" s="328" t="s">
        <v>422</v>
      </c>
      <c r="D37" s="324">
        <f>+CAPM!G57</f>
        <v>0.10908675000000001</v>
      </c>
      <c r="E37" s="312" t="s">
        <v>0</v>
      </c>
      <c r="F37" s="13"/>
      <c r="G37" s="13"/>
      <c r="H37" s="13"/>
      <c r="I37" s="13"/>
    </row>
    <row r="38" spans="1:9" ht="16.5" customHeight="1">
      <c r="A38" s="13"/>
      <c r="B38" s="13"/>
      <c r="C38" s="328" t="s">
        <v>423</v>
      </c>
      <c r="D38" s="324">
        <f>+CAPM!G58</f>
        <v>0.10031524999999999</v>
      </c>
      <c r="E38" s="312"/>
      <c r="F38" s="13"/>
      <c r="G38" s="13"/>
      <c r="H38" s="13"/>
      <c r="I38" s="13"/>
    </row>
    <row r="39" spans="1:9" ht="18.75" customHeight="1">
      <c r="A39" s="13"/>
      <c r="B39" s="13"/>
      <c r="C39" s="328" t="s">
        <v>424</v>
      </c>
      <c r="D39" s="324">
        <f>+CAPM!G59</f>
        <v>8.9474999999999999E-2</v>
      </c>
      <c r="E39" s="315"/>
      <c r="F39" s="13"/>
      <c r="G39" s="13"/>
      <c r="H39" s="13"/>
      <c r="I39" s="13"/>
    </row>
    <row r="40" spans="1:9" ht="21.75" customHeight="1">
      <c r="A40" s="13"/>
      <c r="B40" s="13"/>
      <c r="C40" s="327" t="s">
        <v>261</v>
      </c>
      <c r="D40" s="195">
        <f>+'Single Stage Div Growth Model'!I38</f>
        <v>0.09</v>
      </c>
      <c r="G40" s="13"/>
      <c r="H40" s="13"/>
      <c r="I40" s="13"/>
    </row>
    <row r="41" spans="1:9" ht="21.75" customHeight="1">
      <c r="A41" s="13"/>
      <c r="B41" s="13"/>
      <c r="C41" s="327" t="s">
        <v>260</v>
      </c>
      <c r="D41" s="195">
        <f>+'Single Stage Div Growth Model'!I40</f>
        <v>9.0999999999999998E-2</v>
      </c>
      <c r="G41" s="13"/>
      <c r="H41" s="13"/>
      <c r="I41" s="13"/>
    </row>
    <row r="42" spans="1:9" ht="21.75" customHeight="1">
      <c r="A42" s="13"/>
      <c r="B42" s="13"/>
      <c r="C42" s="316" t="s">
        <v>262</v>
      </c>
      <c r="D42" s="317">
        <f>+'Two-Stage Dividend Growth Model'!H42</f>
        <v>8.7800000000000003E-2</v>
      </c>
      <c r="E42" s="13"/>
      <c r="F42" s="465" t="s">
        <v>0</v>
      </c>
      <c r="G42" s="82" t="s">
        <v>0</v>
      </c>
      <c r="H42" s="13"/>
      <c r="I42" s="13"/>
    </row>
    <row r="43" spans="1:9" ht="21.75" customHeight="1">
      <c r="A43" s="13"/>
      <c r="B43" s="13"/>
      <c r="C43" s="303" t="s">
        <v>368</v>
      </c>
      <c r="D43" s="304">
        <f>+'Direct NOPAT'!G75</f>
        <v>7.0499999999999993E-2</v>
      </c>
      <c r="E43" s="169" t="s">
        <v>0</v>
      </c>
      <c r="F43" s="13"/>
      <c r="G43" s="13"/>
      <c r="H43" s="13"/>
      <c r="I43" s="13"/>
    </row>
    <row r="44" spans="1:9" ht="17.25" thickBot="1">
      <c r="A44" s="13"/>
      <c r="B44" s="13"/>
      <c r="C44" s="13"/>
      <c r="D44" s="71"/>
      <c r="E44" s="13"/>
      <c r="F44" s="13"/>
      <c r="G44" s="13"/>
      <c r="H44" s="13"/>
      <c r="I44" s="13"/>
    </row>
    <row r="45" spans="1:9" ht="17.25" thickTop="1">
      <c r="A45" s="13"/>
      <c r="B45" s="13"/>
      <c r="C45" s="15" t="s">
        <v>64</v>
      </c>
      <c r="D45" s="52">
        <f>MAX(D14:D42)</f>
        <v>0.10908675000000001</v>
      </c>
      <c r="E45" s="141"/>
      <c r="F45" s="13"/>
      <c r="G45" s="13"/>
      <c r="H45" s="13"/>
      <c r="I45" s="13"/>
    </row>
    <row r="46" spans="1:9" ht="16.5">
      <c r="A46" s="13"/>
      <c r="B46" s="13"/>
      <c r="C46" s="15" t="s">
        <v>65</v>
      </c>
      <c r="D46" s="305">
        <f>MIN(D14:D42)</f>
        <v>7.0737999999999995E-2</v>
      </c>
      <c r="E46" s="13"/>
      <c r="F46" s="13"/>
      <c r="G46" s="52"/>
      <c r="H46" s="52"/>
      <c r="I46" s="52"/>
    </row>
    <row r="47" spans="1:9" ht="16.5">
      <c r="A47" s="13"/>
      <c r="B47" s="13"/>
      <c r="C47" s="15" t="s">
        <v>18</v>
      </c>
      <c r="D47" s="82">
        <f>MEDIAN(D14:D42)</f>
        <v>9.0450000000000003E-2</v>
      </c>
      <c r="E47" s="82"/>
      <c r="F47" s="82"/>
      <c r="G47" s="82"/>
      <c r="H47" s="82"/>
      <c r="I47" s="82"/>
    </row>
    <row r="48" spans="1:9" ht="16.5">
      <c r="A48" s="13"/>
      <c r="B48" s="13"/>
      <c r="C48" s="15" t="s">
        <v>400</v>
      </c>
      <c r="D48" s="83">
        <f>AVERAGE(D14:D42)</f>
        <v>8.8761017241379317E-2</v>
      </c>
      <c r="E48" s="83"/>
      <c r="F48" s="83"/>
      <c r="G48" s="83"/>
      <c r="H48" s="83"/>
      <c r="I48" s="83"/>
    </row>
    <row r="49" spans="1:9" ht="16.5">
      <c r="A49" s="13"/>
      <c r="B49" s="13"/>
      <c r="C49" s="15"/>
      <c r="D49" s="83"/>
      <c r="E49" s="83"/>
      <c r="F49" s="83"/>
      <c r="G49" s="83"/>
      <c r="H49" s="83"/>
      <c r="I49" s="83"/>
    </row>
    <row r="50" spans="1:9" ht="35.25" customHeight="1" thickBot="1">
      <c r="A50" s="13"/>
      <c r="B50" s="13"/>
      <c r="C50" s="13"/>
      <c r="D50" s="13" t="s">
        <v>217</v>
      </c>
      <c r="E50" s="13"/>
      <c r="F50" s="13"/>
      <c r="G50" s="13"/>
      <c r="H50" s="13"/>
      <c r="I50" s="13"/>
    </row>
    <row r="51" spans="1:9" ht="27" thickBot="1">
      <c r="A51" s="13"/>
      <c r="B51" s="13"/>
      <c r="C51" s="185" t="s">
        <v>269</v>
      </c>
      <c r="D51" s="347">
        <v>8.8800000000000004E-2</v>
      </c>
      <c r="E51" s="84"/>
      <c r="F51" s="84"/>
    </row>
    <row r="52" spans="1:9" ht="26.25">
      <c r="A52" s="13"/>
      <c r="B52" s="13"/>
      <c r="C52" s="49"/>
      <c r="D52" s="329"/>
      <c r="E52" s="84"/>
      <c r="F52" s="84"/>
    </row>
    <row r="53" spans="1:9" ht="26.25">
      <c r="A53" s="13"/>
      <c r="B53" s="13"/>
      <c r="C53" s="49"/>
      <c r="D53" s="329"/>
      <c r="E53" s="84"/>
      <c r="F53" s="84"/>
    </row>
    <row r="54" spans="1:9" ht="16.5">
      <c r="B54" s="13"/>
      <c r="C54" s="13"/>
      <c r="D54" s="13"/>
      <c r="E54" s="13"/>
      <c r="F54" s="13"/>
      <c r="G54" s="13"/>
      <c r="H54" s="13"/>
      <c r="I54" s="13"/>
    </row>
    <row r="55" spans="1:9" ht="16.5">
      <c r="B55" s="13"/>
      <c r="C55" s="13"/>
      <c r="D55" s="13"/>
      <c r="E55" s="13"/>
      <c r="F55" s="13"/>
      <c r="G55" s="13"/>
      <c r="H55" s="13"/>
      <c r="I55" s="13"/>
    </row>
    <row r="56" spans="1:9" ht="16.5">
      <c r="A56" s="13"/>
      <c r="B56" s="13"/>
      <c r="C56" s="13"/>
      <c r="D56" s="13"/>
      <c r="E56" s="13"/>
      <c r="F56" s="13"/>
      <c r="G56" s="13"/>
      <c r="H56" s="13"/>
      <c r="I56" s="13"/>
    </row>
    <row r="57" spans="1:9" ht="16.5">
      <c r="A57" s="13"/>
      <c r="B57" s="13"/>
      <c r="C57" s="13"/>
      <c r="D57" s="13"/>
      <c r="E57" s="13"/>
      <c r="F57" s="13"/>
      <c r="G57" s="13"/>
      <c r="H57" s="13"/>
      <c r="I57" s="13"/>
    </row>
    <row r="58" spans="1:9" ht="16.5">
      <c r="A58" s="13"/>
      <c r="B58" s="13"/>
      <c r="C58" s="13"/>
      <c r="D58" s="13"/>
      <c r="E58" s="13"/>
      <c r="F58" s="13"/>
      <c r="G58" s="13"/>
      <c r="H58" s="13"/>
      <c r="I58" s="13"/>
    </row>
    <row r="59" spans="1:9" ht="17.25">
      <c r="A59" s="110" t="s">
        <v>270</v>
      </c>
      <c r="B59" s="13"/>
      <c r="C59" s="13"/>
      <c r="D59" s="13" t="s">
        <v>0</v>
      </c>
      <c r="E59" s="13"/>
      <c r="F59" s="13"/>
      <c r="G59" s="13"/>
      <c r="H59" s="13"/>
      <c r="I59" s="13"/>
    </row>
    <row r="60" spans="1:9" ht="17.25">
      <c r="A60" s="208" t="s">
        <v>371</v>
      </c>
      <c r="B60" s="446"/>
      <c r="C60" s="446"/>
      <c r="D60" s="446"/>
      <c r="E60" s="446"/>
      <c r="F60" s="13"/>
      <c r="G60" s="13"/>
      <c r="H60" s="13"/>
      <c r="I60" s="13"/>
    </row>
    <row r="61" spans="1:9" ht="16.5">
      <c r="A61" s="13"/>
      <c r="B61" s="13"/>
      <c r="C61" s="13"/>
      <c r="D61" s="13"/>
      <c r="E61" s="13"/>
      <c r="F61" s="13"/>
      <c r="G61" s="13"/>
      <c r="H61" s="13"/>
      <c r="I61" s="13"/>
    </row>
    <row r="62" spans="1:9" ht="16.5">
      <c r="A62" s="13"/>
      <c r="B62" s="13"/>
      <c r="C62" s="13"/>
      <c r="D62" s="13"/>
      <c r="E62" s="13"/>
      <c r="F62" s="13"/>
      <c r="G62" s="13"/>
      <c r="H62" s="13"/>
      <c r="I62" s="13"/>
    </row>
    <row r="63" spans="1:9" ht="16.5">
      <c r="A63" s="13"/>
      <c r="B63" s="13"/>
      <c r="C63" s="13"/>
      <c r="D63" s="13"/>
      <c r="E63" s="13"/>
      <c r="F63" s="13"/>
      <c r="G63" s="13"/>
      <c r="H63" s="13"/>
      <c r="I63" s="13"/>
    </row>
    <row r="64" spans="1:9" ht="16.5">
      <c r="A64" s="13"/>
      <c r="B64" s="13"/>
      <c r="C64" s="13"/>
      <c r="D64" s="13"/>
      <c r="E64" s="13"/>
      <c r="F64" s="13"/>
      <c r="G64" s="13"/>
      <c r="H64" s="13"/>
      <c r="I64" s="13"/>
    </row>
    <row r="65" spans="1:9" ht="16.5">
      <c r="A65" s="13"/>
      <c r="B65" s="13"/>
      <c r="C65" s="13"/>
      <c r="D65" s="13"/>
      <c r="E65" s="13"/>
      <c r="F65" s="13"/>
      <c r="G65" s="13"/>
      <c r="H65" s="13"/>
      <c r="I65" s="13"/>
    </row>
    <row r="66" spans="1:9" ht="16.5">
      <c r="A66" s="13"/>
      <c r="B66" s="13"/>
      <c r="C66" s="13"/>
      <c r="D66" s="13"/>
      <c r="E66" s="13"/>
      <c r="F66" s="13"/>
      <c r="G66" s="13"/>
      <c r="H66" s="13"/>
      <c r="I66" s="13"/>
    </row>
    <row r="67" spans="1:9" ht="16.5">
      <c r="A67" s="13"/>
      <c r="B67" s="13"/>
      <c r="C67" s="13"/>
      <c r="D67" s="13"/>
      <c r="E67" s="13"/>
      <c r="F67" s="13"/>
      <c r="G67" s="13"/>
      <c r="H67" s="13"/>
      <c r="I67" s="13"/>
    </row>
    <row r="68" spans="1:9" ht="16.5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6.5">
      <c r="A69" s="13"/>
      <c r="B69" s="13"/>
      <c r="C69" s="13"/>
      <c r="D69" s="13"/>
      <c r="E69" s="13"/>
      <c r="F69" s="13"/>
      <c r="G69" s="13"/>
      <c r="H69" s="13"/>
      <c r="I69" s="13"/>
    </row>
    <row r="70" spans="1:9" ht="16.5">
      <c r="A70" s="13"/>
      <c r="B70" s="13"/>
      <c r="C70" s="13"/>
      <c r="D70" s="13"/>
      <c r="E70" s="13"/>
      <c r="F70" s="13"/>
      <c r="G70" s="13"/>
      <c r="H70" s="13"/>
      <c r="I70" s="13"/>
    </row>
    <row r="71" spans="1:9" ht="16.5">
      <c r="A71" s="13"/>
      <c r="B71" s="13"/>
      <c r="C71" s="13"/>
      <c r="D71" s="13"/>
      <c r="E71" s="13"/>
      <c r="F71" s="13"/>
      <c r="G71" s="13"/>
      <c r="H71" s="13"/>
      <c r="I71" s="13"/>
    </row>
    <row r="72" spans="1:9" ht="16.5">
      <c r="A72" s="13"/>
      <c r="B72" s="13"/>
      <c r="C72" s="13"/>
      <c r="D72" s="13"/>
      <c r="E72" s="13"/>
      <c r="F72" s="13"/>
      <c r="G72" s="13"/>
      <c r="H72" s="13"/>
      <c r="I72" s="13"/>
    </row>
    <row r="73" spans="1:9" ht="16.5">
      <c r="A73" s="13"/>
      <c r="B73" s="13"/>
      <c r="C73" s="13"/>
      <c r="D73" s="13"/>
      <c r="E73" s="13"/>
      <c r="F73" s="13"/>
      <c r="G73" s="13"/>
      <c r="H73" s="13"/>
      <c r="I73" s="13"/>
    </row>
    <row r="74" spans="1:9" ht="16.5">
      <c r="A74" s="13"/>
      <c r="B74" s="13"/>
      <c r="C74" s="13"/>
      <c r="D74" s="13"/>
      <c r="E74" s="13"/>
      <c r="F74" s="13"/>
      <c r="G74" s="13"/>
      <c r="H74" s="13"/>
      <c r="I74" s="13"/>
    </row>
    <row r="75" spans="1:9" ht="16.5">
      <c r="A75" s="13"/>
      <c r="B75" s="13"/>
      <c r="C75" s="13"/>
      <c r="D75" s="13"/>
      <c r="E75" s="13"/>
      <c r="F75" s="13"/>
      <c r="G75" s="13"/>
      <c r="H75" s="13"/>
      <c r="I75" s="13"/>
    </row>
    <row r="76" spans="1:9" ht="16.5">
      <c r="A76" s="13"/>
      <c r="B76" s="13"/>
      <c r="C76" s="13"/>
      <c r="D76" s="13"/>
      <c r="E76" s="13"/>
      <c r="F76" s="13"/>
      <c r="G76" s="13"/>
      <c r="H76" s="13"/>
      <c r="I76" s="13"/>
    </row>
    <row r="77" spans="1:9" ht="16.5">
      <c r="A77" s="13"/>
      <c r="B77" s="13"/>
      <c r="C77" s="13"/>
      <c r="D77" s="13"/>
      <c r="E77" s="13"/>
      <c r="F77" s="13"/>
      <c r="G77" s="13"/>
      <c r="H77" s="13"/>
      <c r="I77" s="13"/>
    </row>
    <row r="78" spans="1:9" ht="16.5">
      <c r="A78" s="13"/>
      <c r="B78" s="13"/>
      <c r="C78" s="13"/>
      <c r="D78" s="13"/>
      <c r="E78" s="13"/>
      <c r="F78" s="13"/>
      <c r="G78" s="13"/>
      <c r="H78" s="13"/>
      <c r="I78" s="13"/>
    </row>
    <row r="79" spans="1:9" ht="16.5">
      <c r="A79" s="13"/>
      <c r="B79" s="13"/>
      <c r="C79" s="13"/>
      <c r="D79" s="13"/>
      <c r="E79" s="13"/>
      <c r="F79" s="13"/>
      <c r="G79" s="13"/>
      <c r="H79" s="13"/>
      <c r="I79" s="13"/>
    </row>
    <row r="80" spans="1:9" ht="16.5">
      <c r="A80" s="13"/>
      <c r="B80" s="13"/>
      <c r="C80" s="13"/>
      <c r="D80" s="13"/>
      <c r="E80" s="13"/>
      <c r="F80" s="13"/>
      <c r="G80" s="13"/>
      <c r="H80" s="13"/>
      <c r="I80" s="13"/>
    </row>
    <row r="81" spans="1:9" ht="16.5">
      <c r="A81" s="13"/>
      <c r="B81" s="13"/>
      <c r="C81" s="13"/>
      <c r="D81" s="13"/>
      <c r="E81" s="13"/>
      <c r="F81" s="13"/>
      <c r="G81" s="13"/>
      <c r="H81" s="13"/>
      <c r="I81" s="13"/>
    </row>
    <row r="82" spans="1:9" ht="16.5">
      <c r="A82" s="13"/>
      <c r="B82" s="13"/>
      <c r="C82" s="13"/>
      <c r="D82" s="13"/>
      <c r="E82" s="13"/>
      <c r="F82" s="13"/>
      <c r="G82" s="13"/>
      <c r="H82" s="13"/>
      <c r="I82" s="13"/>
    </row>
    <row r="83" spans="1:9" ht="16.5">
      <c r="A83" s="13"/>
      <c r="B83" s="13"/>
      <c r="C83" s="13"/>
      <c r="D83" s="13"/>
      <c r="E83" s="13"/>
      <c r="F83" s="13"/>
      <c r="G83" s="13"/>
      <c r="H83" s="13"/>
      <c r="I83" s="13"/>
    </row>
    <row r="84" spans="1:9" ht="16.5">
      <c r="A84" s="13"/>
      <c r="B84" s="13"/>
      <c r="C84" s="13"/>
      <c r="D84" s="13"/>
      <c r="E84" s="13"/>
      <c r="F84" s="13"/>
      <c r="G84" s="13"/>
      <c r="H84" s="13"/>
      <c r="I84" s="13"/>
    </row>
    <row r="85" spans="1:9" ht="16.5">
      <c r="A85" s="13"/>
      <c r="B85" s="13"/>
      <c r="C85" s="13"/>
      <c r="D85" s="13"/>
      <c r="E85" s="13"/>
      <c r="F85" s="13"/>
      <c r="G85" s="13"/>
      <c r="H85" s="13"/>
      <c r="I85" s="13"/>
    </row>
    <row r="86" spans="1:9" ht="16.5">
      <c r="A86" s="13"/>
      <c r="B86" s="13"/>
      <c r="C86" s="13"/>
      <c r="D86" s="13"/>
      <c r="E86" s="13"/>
      <c r="F86" s="13"/>
      <c r="G86" s="13"/>
      <c r="H86" s="13"/>
      <c r="I86" s="13"/>
    </row>
    <row r="87" spans="1:9" ht="16.5">
      <c r="A87" s="13"/>
      <c r="B87" s="13"/>
      <c r="C87" s="13"/>
      <c r="D87" s="13"/>
      <c r="E87" s="13"/>
      <c r="F87" s="13"/>
      <c r="G87" s="13"/>
      <c r="H87" s="13"/>
      <c r="I87" s="13"/>
    </row>
    <row r="88" spans="1:9" ht="16.5">
      <c r="A88" s="13"/>
      <c r="B88" s="13"/>
      <c r="C88" s="13"/>
      <c r="D88" s="13"/>
      <c r="E88" s="13"/>
      <c r="F88" s="13"/>
      <c r="G88" s="13"/>
      <c r="H88" s="13"/>
      <c r="I88" s="13"/>
    </row>
    <row r="89" spans="1:9" ht="16.5">
      <c r="A89" s="13"/>
      <c r="B89" s="13"/>
      <c r="C89" s="13"/>
      <c r="D89" s="13"/>
      <c r="E89" s="13"/>
      <c r="F89" s="13"/>
      <c r="G89" s="13"/>
      <c r="H89" s="13"/>
      <c r="I89" s="13"/>
    </row>
    <row r="90" spans="1:9" ht="16.5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16.5">
      <c r="A91" s="13"/>
      <c r="B91" s="13"/>
      <c r="C91" s="13"/>
      <c r="D91" s="13"/>
      <c r="E91" s="13"/>
      <c r="F91" s="13"/>
      <c r="G91" s="13"/>
      <c r="H91" s="13"/>
      <c r="I91" s="13"/>
    </row>
    <row r="92" spans="1:9" ht="16.5">
      <c r="A92" s="13"/>
      <c r="B92" s="13"/>
      <c r="C92" s="13"/>
      <c r="D92" s="13"/>
      <c r="E92" s="13"/>
      <c r="F92" s="13"/>
      <c r="G92" s="13"/>
      <c r="H92" s="13"/>
      <c r="I92" s="13"/>
    </row>
    <row r="93" spans="1:9" ht="16.5">
      <c r="A93" s="13"/>
      <c r="B93" s="13"/>
      <c r="C93" s="13"/>
      <c r="D93" s="13"/>
      <c r="E93" s="13"/>
      <c r="F93" s="13"/>
      <c r="G93" s="13"/>
      <c r="H93" s="13"/>
      <c r="I93" s="13"/>
    </row>
    <row r="94" spans="1:9" ht="16.5">
      <c r="A94" s="13"/>
      <c r="B94" s="13"/>
      <c r="C94" s="13"/>
      <c r="D94" s="13"/>
      <c r="E94" s="13"/>
      <c r="F94" s="13"/>
      <c r="G94" s="13"/>
      <c r="H94" s="13"/>
      <c r="I94" s="13"/>
    </row>
    <row r="95" spans="1:9" ht="16.5">
      <c r="A95" s="13"/>
      <c r="B95" s="13"/>
      <c r="C95" s="13"/>
      <c r="D95" s="13"/>
      <c r="E95" s="13"/>
      <c r="F95" s="13"/>
      <c r="G95" s="13"/>
      <c r="H95" s="13"/>
      <c r="I95" s="13"/>
    </row>
    <row r="96" spans="1:9" ht="16.5">
      <c r="A96" s="13"/>
      <c r="B96" s="13"/>
      <c r="C96" s="13"/>
      <c r="D96" s="13"/>
      <c r="E96" s="13"/>
      <c r="F96" s="13"/>
      <c r="G96" s="13"/>
      <c r="H96" s="13"/>
      <c r="I96" s="13"/>
    </row>
    <row r="97" spans="1:9" ht="16.5">
      <c r="A97" s="13"/>
      <c r="B97" s="13"/>
      <c r="C97" s="13"/>
      <c r="D97" s="13"/>
      <c r="E97" s="13"/>
      <c r="F97" s="13"/>
      <c r="G97" s="13"/>
      <c r="H97" s="13"/>
      <c r="I97" s="13"/>
    </row>
    <row r="98" spans="1:9" ht="16.5">
      <c r="A98" s="13"/>
      <c r="B98" s="13"/>
      <c r="C98" s="13"/>
      <c r="D98" s="13"/>
      <c r="E98" s="13"/>
      <c r="F98" s="13"/>
      <c r="G98" s="13"/>
      <c r="H98" s="13"/>
      <c r="I98" s="13"/>
    </row>
    <row r="99" spans="1:9" ht="16.5">
      <c r="A99" s="13"/>
      <c r="B99" s="13"/>
      <c r="C99" s="13"/>
      <c r="D99" s="13"/>
      <c r="E99" s="13"/>
      <c r="F99" s="13"/>
      <c r="G99" s="13"/>
      <c r="H99" s="13"/>
      <c r="I99" s="13"/>
    </row>
    <row r="100" spans="1:9" ht="16.5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ht="16.5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ht="16.5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6.5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6.5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ht="16.5">
      <c r="A105" s="13"/>
      <c r="B105" s="13"/>
      <c r="C105" s="13"/>
      <c r="D105" s="13"/>
      <c r="E105" s="13"/>
      <c r="F105" s="13"/>
      <c r="G105" s="13"/>
      <c r="H105" s="13"/>
      <c r="I105" s="13"/>
    </row>
  </sheetData>
  <pageMargins left="0.25" right="0.25" top="0.75" bottom="0.75" header="0.3" footer="0.3"/>
  <pageSetup scale="4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>
    <tabColor rgb="FF92D050"/>
  </sheetPr>
  <dimension ref="A1:K54"/>
  <sheetViews>
    <sheetView view="pageBreakPreview" zoomScale="70" zoomScaleNormal="80" zoomScaleSheetLayoutView="70" workbookViewId="0">
      <selection activeCell="G6" sqref="G6"/>
    </sheetView>
  </sheetViews>
  <sheetFormatPr defaultRowHeight="15"/>
  <cols>
    <col min="1" max="1" width="45.140625" customWidth="1"/>
    <col min="2" max="2" width="10.85546875" bestFit="1" customWidth="1"/>
    <col min="3" max="3" width="23.5703125" customWidth="1"/>
    <col min="4" max="4" width="15.42578125" customWidth="1"/>
    <col min="5" max="5" width="27.140625" customWidth="1"/>
    <col min="6" max="6" width="22" customWidth="1"/>
    <col min="7" max="7" width="29.42578125" customWidth="1"/>
    <col min="8" max="8" width="37" customWidth="1"/>
    <col min="9" max="9" width="24.5703125" customWidth="1"/>
    <col min="10" max="10" width="24.140625" customWidth="1"/>
    <col min="12" max="12" width="10.5703125" customWidth="1"/>
  </cols>
  <sheetData>
    <row r="1" spans="1:11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6.5">
      <c r="A3" s="27" t="s">
        <v>475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6.5">
      <c r="A4" s="27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thickBot="1">
      <c r="A5" s="13"/>
      <c r="B5" s="13"/>
      <c r="C5" s="13"/>
      <c r="D5" s="13"/>
      <c r="E5" s="13"/>
      <c r="F5" s="13"/>
      <c r="G5" s="13"/>
      <c r="H5" s="28"/>
      <c r="I5" s="13"/>
      <c r="J5" s="13"/>
      <c r="K5" s="13"/>
    </row>
    <row r="6" spans="1:11" ht="18" thickBot="1">
      <c r="A6" s="242" t="str">
        <f>+'S&amp;D'!A12</f>
        <v>Electric Utilities</v>
      </c>
      <c r="B6" s="177"/>
      <c r="C6" s="13"/>
      <c r="D6" s="30"/>
      <c r="E6" s="30"/>
      <c r="F6" s="30"/>
      <c r="G6" s="462" t="s">
        <v>0</v>
      </c>
      <c r="H6" s="30"/>
      <c r="I6" s="13"/>
      <c r="J6" s="13"/>
      <c r="K6" s="13"/>
    </row>
    <row r="7" spans="1:11" ht="26.25">
      <c r="A7" s="31"/>
      <c r="B7" s="13"/>
      <c r="C7" s="13"/>
      <c r="D7" s="13"/>
      <c r="E7" s="13"/>
      <c r="F7" s="32" t="s">
        <v>395</v>
      </c>
      <c r="G7" s="13"/>
      <c r="H7" s="13"/>
      <c r="I7" s="13"/>
      <c r="J7" s="13"/>
      <c r="K7" s="13"/>
    </row>
    <row r="8" spans="1:11" ht="21" thickBot="1">
      <c r="A8" s="31"/>
      <c r="B8" s="13"/>
      <c r="C8" s="13"/>
      <c r="D8" s="30"/>
      <c r="E8" s="30"/>
      <c r="F8" s="33" t="s">
        <v>488</v>
      </c>
      <c r="G8" s="30"/>
      <c r="H8" s="30"/>
      <c r="I8" s="13"/>
      <c r="J8" s="13"/>
      <c r="K8" s="13"/>
    </row>
    <row r="9" spans="1:11" ht="17.25" thickBot="1">
      <c r="A9" s="34" t="s">
        <v>0</v>
      </c>
      <c r="B9" s="34" t="s">
        <v>0</v>
      </c>
      <c r="C9" s="34" t="s">
        <v>0</v>
      </c>
      <c r="D9" s="30"/>
      <c r="E9" s="34"/>
      <c r="F9" s="34" t="s">
        <v>0</v>
      </c>
      <c r="G9" s="34"/>
      <c r="H9" s="30"/>
      <c r="I9" s="30"/>
      <c r="J9" s="30"/>
      <c r="K9" s="13"/>
    </row>
    <row r="10" spans="1:11" ht="16.5">
      <c r="A10" s="35" t="s">
        <v>0</v>
      </c>
      <c r="B10" s="35" t="s">
        <v>3</v>
      </c>
      <c r="C10" s="35" t="s">
        <v>5</v>
      </c>
      <c r="D10" s="35" t="s">
        <v>190</v>
      </c>
      <c r="E10" s="35" t="s">
        <v>12</v>
      </c>
      <c r="F10" s="35" t="s">
        <v>202</v>
      </c>
      <c r="G10" s="35" t="s">
        <v>203</v>
      </c>
      <c r="H10" s="35" t="s">
        <v>203</v>
      </c>
      <c r="I10" s="35" t="s">
        <v>199</v>
      </c>
      <c r="J10" s="35" t="s">
        <v>199</v>
      </c>
      <c r="K10" s="13"/>
    </row>
    <row r="11" spans="1:11" ht="16.5">
      <c r="A11" s="35" t="s">
        <v>2</v>
      </c>
      <c r="B11" s="35" t="s">
        <v>4</v>
      </c>
      <c r="C11" s="35" t="s">
        <v>6</v>
      </c>
      <c r="D11" s="35" t="s">
        <v>230</v>
      </c>
      <c r="E11" s="35" t="s">
        <v>14</v>
      </c>
      <c r="F11" s="35" t="s">
        <v>389</v>
      </c>
      <c r="G11" s="35" t="s">
        <v>231</v>
      </c>
      <c r="H11" s="35" t="s">
        <v>232</v>
      </c>
      <c r="I11" s="35" t="s">
        <v>193</v>
      </c>
      <c r="J11" s="35" t="s">
        <v>197</v>
      </c>
      <c r="K11" s="13"/>
    </row>
    <row r="12" spans="1:11" ht="16.5">
      <c r="A12" s="35"/>
      <c r="B12" s="35"/>
      <c r="C12" s="35"/>
      <c r="D12" s="35"/>
      <c r="E12" s="35"/>
      <c r="F12" s="36" t="s">
        <v>0</v>
      </c>
      <c r="G12" s="36" t="s">
        <v>505</v>
      </c>
      <c r="H12" s="36" t="s">
        <v>505</v>
      </c>
      <c r="I12" s="35"/>
      <c r="J12" s="35"/>
      <c r="K12" s="13"/>
    </row>
    <row r="13" spans="1:11" ht="17.25" thickBot="1">
      <c r="A13" s="37" t="s">
        <v>0</v>
      </c>
      <c r="B13" s="38" t="s">
        <v>122</v>
      </c>
      <c r="C13" s="38" t="s">
        <v>123</v>
      </c>
      <c r="D13" s="38" t="s">
        <v>124</v>
      </c>
      <c r="E13" s="38" t="s">
        <v>125</v>
      </c>
      <c r="F13" s="38" t="s">
        <v>126</v>
      </c>
      <c r="G13" s="38" t="s">
        <v>127</v>
      </c>
      <c r="H13" s="38" t="s">
        <v>128</v>
      </c>
      <c r="I13" s="38" t="s">
        <v>200</v>
      </c>
      <c r="J13" s="38" t="s">
        <v>201</v>
      </c>
      <c r="K13" s="13"/>
    </row>
    <row r="14" spans="1:11" ht="16.5">
      <c r="A14" s="39" t="s">
        <v>7</v>
      </c>
      <c r="B14" s="39" t="s">
        <v>7</v>
      </c>
      <c r="C14" s="39" t="s">
        <v>7</v>
      </c>
      <c r="D14" s="40" t="s">
        <v>146</v>
      </c>
      <c r="E14" s="40"/>
      <c r="F14" s="39" t="s">
        <v>7</v>
      </c>
      <c r="G14" s="39" t="s">
        <v>7</v>
      </c>
      <c r="H14" s="39" t="s">
        <v>7</v>
      </c>
      <c r="I14" s="39" t="s">
        <v>0</v>
      </c>
      <c r="J14" s="39" t="s">
        <v>0</v>
      </c>
      <c r="K14" s="13"/>
    </row>
    <row r="15" spans="1:11" ht="16.5">
      <c r="A15" s="35"/>
      <c r="B15" s="35"/>
      <c r="C15" s="35"/>
      <c r="D15" s="35"/>
      <c r="E15" s="35"/>
      <c r="F15" s="35"/>
      <c r="G15" s="35"/>
      <c r="H15" s="13"/>
      <c r="I15" s="13"/>
      <c r="J15" s="13"/>
      <c r="K15" s="13"/>
    </row>
    <row r="16" spans="1:11" ht="16.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ht="17.25">
      <c r="A17" s="44" t="str">
        <f>+'S&amp;D'!A22</f>
        <v>Alliant Energy</v>
      </c>
      <c r="B17" s="35" t="str">
        <f>+'S&amp;D'!B22</f>
        <v>LNT</v>
      </c>
      <c r="C17" s="35" t="str">
        <f>+'S&amp;D'!C22</f>
        <v>Electric Utility - Cent</v>
      </c>
      <c r="D17" s="60">
        <f>+'S&amp;D'!G22</f>
        <v>65.010000000000005</v>
      </c>
      <c r="E17" s="61">
        <f>+'S&amp;D'!D46</f>
        <v>16716493337.610001</v>
      </c>
      <c r="F17" s="54">
        <f>+'Dividends '!H16</f>
        <v>3.5071527457314254E-2</v>
      </c>
      <c r="G17" s="54">
        <v>0.06</v>
      </c>
      <c r="H17" s="54">
        <v>0.06</v>
      </c>
      <c r="I17" s="300">
        <f t="shared" ref="I17:I31" si="0">+F17+G17</f>
        <v>9.5071527457314259E-2</v>
      </c>
      <c r="J17" s="300">
        <f t="shared" ref="J17:J31" si="1">+F17+H17</f>
        <v>9.5071527457314259E-2</v>
      </c>
      <c r="K17" s="13"/>
    </row>
    <row r="18" spans="1:11" ht="17.25">
      <c r="A18" s="44" t="str">
        <f>+'S&amp;D'!A23</f>
        <v>AMEREN Corporation</v>
      </c>
      <c r="B18" s="35" t="str">
        <f>+'S&amp;D'!B23</f>
        <v>AEE</v>
      </c>
      <c r="C18" s="35" t="str">
        <f>+'S&amp;D'!C23</f>
        <v>Electric Utility - Cent</v>
      </c>
      <c r="D18" s="60">
        <f>+'S&amp;D'!G23</f>
        <v>99.86</v>
      </c>
      <c r="E18" s="61">
        <f>+'S&amp;D'!D47</f>
        <v>27601304000</v>
      </c>
      <c r="F18" s="54">
        <f>+'Dividends '!H17</f>
        <v>3.2044862807931104E-2</v>
      </c>
      <c r="G18" s="54">
        <v>6.5000000000000002E-2</v>
      </c>
      <c r="H18" s="54">
        <v>6.5000000000000002E-2</v>
      </c>
      <c r="I18" s="300">
        <f t="shared" si="0"/>
        <v>9.7044862807931107E-2</v>
      </c>
      <c r="J18" s="300">
        <f t="shared" si="1"/>
        <v>9.7044862807931107E-2</v>
      </c>
      <c r="K18" s="13"/>
    </row>
    <row r="19" spans="1:11" ht="17.25">
      <c r="A19" s="44" t="str">
        <f>+'S&amp;D'!A24</f>
        <v>American Electric Power</v>
      </c>
      <c r="B19" s="35" t="str">
        <f>+'S&amp;D'!B24</f>
        <v>AEP</v>
      </c>
      <c r="C19" s="35" t="str">
        <f>+'S&amp;D'!C24</f>
        <v>Electric Utility - Cent</v>
      </c>
      <c r="D19" s="60">
        <f>+'S&amp;D'!G24</f>
        <v>115.31</v>
      </c>
      <c r="E19" s="61">
        <f>+'S&amp;D'!D48</f>
        <v>62366736451.630005</v>
      </c>
      <c r="F19" s="54">
        <f>+'Dividends '!H18</f>
        <v>3.5382880929667855E-2</v>
      </c>
      <c r="G19" s="54">
        <v>5.5E-2</v>
      </c>
      <c r="H19" s="54">
        <v>6.5000000000000002E-2</v>
      </c>
      <c r="I19" s="300">
        <f t="shared" si="0"/>
        <v>9.0382880929667855E-2</v>
      </c>
      <c r="J19" s="300">
        <f t="shared" si="1"/>
        <v>0.10038288092966785</v>
      </c>
      <c r="K19" s="13"/>
    </row>
    <row r="20" spans="1:11" ht="17.25">
      <c r="A20" s="44" t="str">
        <f>+'S&amp;D'!A25</f>
        <v>Centerpoint Energy</v>
      </c>
      <c r="B20" s="35" t="str">
        <f>+'S&amp;D'!B25</f>
        <v>CNP</v>
      </c>
      <c r="C20" s="35" t="str">
        <f>+'S&amp;D'!C25</f>
        <v>Electric Utility - Cent</v>
      </c>
      <c r="D20" s="60">
        <f>+'S&amp;D'!G25</f>
        <v>38.340000000000003</v>
      </c>
      <c r="E20" s="61">
        <f>+'S&amp;D'!D49</f>
        <v>25031019505.500004</v>
      </c>
      <c r="F20" s="54">
        <f>+'Dividends '!H19</f>
        <v>2.999478351591027E-2</v>
      </c>
      <c r="G20" s="54">
        <v>7.4999999999999997E-2</v>
      </c>
      <c r="H20" s="54">
        <v>0.08</v>
      </c>
      <c r="I20" s="300">
        <f>+F20+G20</f>
        <v>0.10499478351591027</v>
      </c>
      <c r="J20" s="300">
        <f>+F20+H20</f>
        <v>0.10999478351591027</v>
      </c>
      <c r="K20" s="13"/>
    </row>
    <row r="21" spans="1:11" ht="17.25">
      <c r="A21" s="44" t="str">
        <f>+'S&amp;D'!A26</f>
        <v>CMS Energy</v>
      </c>
      <c r="B21" s="35" t="str">
        <f>+'S&amp;D'!B26</f>
        <v>CMS</v>
      </c>
      <c r="C21" s="35" t="str">
        <f>+'S&amp;D'!C26</f>
        <v>Electric Utility - Cent</v>
      </c>
      <c r="D21" s="60">
        <f>+'S&amp;D'!G26</f>
        <v>69.930000000000007</v>
      </c>
      <c r="E21" s="61">
        <f>+'S&amp;D'!D50</f>
        <v>21426552000.000004</v>
      </c>
      <c r="F21" s="54">
        <f>+'Dividends '!H20</f>
        <v>3.5750035750035748E-2</v>
      </c>
      <c r="G21" s="54">
        <v>7.0000000000000007E-2</v>
      </c>
      <c r="H21" s="54">
        <v>0.08</v>
      </c>
      <c r="I21" s="300">
        <f t="shared" si="0"/>
        <v>0.10575003575003575</v>
      </c>
      <c r="J21" s="300">
        <f t="shared" si="1"/>
        <v>0.11575003575003576</v>
      </c>
      <c r="K21" s="13"/>
    </row>
    <row r="22" spans="1:11" ht="17.25">
      <c r="A22" s="44" t="str">
        <f>+'S&amp;D'!A27</f>
        <v>DTE Energy</v>
      </c>
      <c r="B22" s="35" t="str">
        <f>+'S&amp;D'!B27</f>
        <v>DTE</v>
      </c>
      <c r="C22" s="35" t="str">
        <f>+'S&amp;D'!C27</f>
        <v>Electric Utility - Cent</v>
      </c>
      <c r="D22" s="60">
        <f>+'S&amp;D'!G27</f>
        <v>128.97999999999999</v>
      </c>
      <c r="E22" s="61">
        <f>+'S&amp;D'!D51</f>
        <v>26794969962.919998</v>
      </c>
      <c r="F22" s="54">
        <f>+'Dividends '!H21</f>
        <v>3.8378043107458522E-2</v>
      </c>
      <c r="G22" s="54">
        <v>3.5000000000000003E-2</v>
      </c>
      <c r="H22" s="54">
        <v>5.5E-2</v>
      </c>
      <c r="I22" s="300">
        <f t="shared" si="0"/>
        <v>7.3378043107458518E-2</v>
      </c>
      <c r="J22" s="300">
        <f t="shared" si="1"/>
        <v>9.3378043107458522E-2</v>
      </c>
      <c r="K22" s="13"/>
    </row>
    <row r="23" spans="1:11" ht="17.25">
      <c r="A23" s="44" t="str">
        <f>+'S&amp;D'!A28</f>
        <v>Duke Energy</v>
      </c>
      <c r="B23" s="35" t="str">
        <f>+'S&amp;D'!B28</f>
        <v>DUK</v>
      </c>
      <c r="C23" s="35" t="str">
        <f>+'S&amp;D'!C28</f>
        <v>Electric Utility - East</v>
      </c>
      <c r="D23" s="60">
        <f>+'S&amp;D'!G28</f>
        <v>117.21</v>
      </c>
      <c r="E23" s="61">
        <f>+'S&amp;D'!D52</f>
        <v>91189380000</v>
      </c>
      <c r="F23" s="54">
        <f>+'Dividends '!H22</f>
        <v>3.77100929954782E-2</v>
      </c>
      <c r="G23" s="54">
        <v>0.04</v>
      </c>
      <c r="H23" s="54">
        <v>0.06</v>
      </c>
      <c r="I23" s="300">
        <f t="shared" si="0"/>
        <v>7.7710092995478208E-2</v>
      </c>
      <c r="J23" s="300">
        <f t="shared" si="1"/>
        <v>9.7710092995478198E-2</v>
      </c>
      <c r="K23" s="13"/>
    </row>
    <row r="24" spans="1:11" ht="17.25">
      <c r="A24" s="44" t="str">
        <f>+'S&amp;D'!A29</f>
        <v>Entergy Corp</v>
      </c>
      <c r="B24" s="35" t="str">
        <f>+'S&amp;D'!B29</f>
        <v>ETR</v>
      </c>
      <c r="C24" s="35" t="str">
        <f>+'S&amp;D'!C29</f>
        <v>Electric Utility - Cent</v>
      </c>
      <c r="D24" s="60">
        <f>+'S&amp;D'!G29</f>
        <v>92.43</v>
      </c>
      <c r="E24" s="61">
        <f>+'S&amp;D'!D53</f>
        <v>41809727506.950005</v>
      </c>
      <c r="F24" s="54">
        <f>+'Dividends '!H23</f>
        <v>2.8994915070864439E-2</v>
      </c>
      <c r="G24" s="54">
        <v>4.4999999999999998E-2</v>
      </c>
      <c r="H24" s="54">
        <v>0.03</v>
      </c>
      <c r="I24" s="300">
        <f t="shared" si="0"/>
        <v>7.3994915070864434E-2</v>
      </c>
      <c r="J24" s="300">
        <f t="shared" si="1"/>
        <v>5.8994915070864434E-2</v>
      </c>
      <c r="K24" s="13"/>
    </row>
    <row r="25" spans="1:11" ht="17.25">
      <c r="A25" s="44" t="str">
        <f>+'S&amp;D'!A30</f>
        <v>Evergy Inc</v>
      </c>
      <c r="B25" s="35" t="str">
        <f>+'S&amp;D'!B30</f>
        <v>EVRG</v>
      </c>
      <c r="C25" s="35" t="str">
        <f>+'S&amp;D'!C30</f>
        <v>Electric Utility - Cent</v>
      </c>
      <c r="D25" s="60">
        <f>+'S&amp;D'!G30</f>
        <v>72.489999999999995</v>
      </c>
      <c r="E25" s="61">
        <f>+'S&amp;D'!D54</f>
        <v>16691741238.259998</v>
      </c>
      <c r="F25" s="54">
        <f>+'Dividends '!H24</f>
        <v>3.8626017381707824E-2</v>
      </c>
      <c r="G25" s="54">
        <v>0.05</v>
      </c>
      <c r="H25" s="54">
        <v>6.5000000000000002E-2</v>
      </c>
      <c r="I25" s="300">
        <f t="shared" ref="I25" si="2">+F25+G25</f>
        <v>8.8626017381707833E-2</v>
      </c>
      <c r="J25" s="300">
        <f t="shared" ref="J25" si="3">+F25+H25</f>
        <v>0.10362601738170782</v>
      </c>
      <c r="K25" s="13"/>
    </row>
    <row r="26" spans="1:11" ht="17.25">
      <c r="A26" s="44" t="str">
        <f>+'S&amp;D'!A31</f>
        <v>FirstEnergy Corp</v>
      </c>
      <c r="B26" s="35" t="str">
        <f>+'S&amp;D'!B31</f>
        <v>FE</v>
      </c>
      <c r="C26" s="35" t="str">
        <f>+'S&amp;D'!C31</f>
        <v>Electric Utility - East</v>
      </c>
      <c r="D26" s="60">
        <f>+'S&amp;D'!G31</f>
        <v>44.77</v>
      </c>
      <c r="E26" s="61">
        <f>+'S&amp;D'!D55</f>
        <v>25877060000</v>
      </c>
      <c r="F26" s="54">
        <f>+'Dividends '!H25</f>
        <v>4.3332588787134238E-2</v>
      </c>
      <c r="G26" s="54">
        <v>0.05</v>
      </c>
      <c r="H26" s="54">
        <v>0.05</v>
      </c>
      <c r="I26" s="300">
        <f t="shared" si="0"/>
        <v>9.3332588787134241E-2</v>
      </c>
      <c r="J26" s="300">
        <f t="shared" si="1"/>
        <v>9.3332588787134241E-2</v>
      </c>
      <c r="K26" s="13"/>
    </row>
    <row r="27" spans="1:11" ht="17.25">
      <c r="A27" s="44" t="str">
        <f>+'S&amp;D'!A32</f>
        <v>OGE Energy Corp.</v>
      </c>
      <c r="B27" s="35" t="str">
        <f>+'S&amp;D'!B32</f>
        <v>OGE</v>
      </c>
      <c r="C27" s="35" t="str">
        <f>+'S&amp;D'!C32</f>
        <v>Electric Utility - Cent</v>
      </c>
      <c r="D27" s="60">
        <f>+'S&amp;D'!G32</f>
        <v>42.7</v>
      </c>
      <c r="E27" s="61">
        <f>+'S&amp;D'!D56</f>
        <v>1725080000</v>
      </c>
      <c r="F27" s="54">
        <f>+'Dividends '!H26</f>
        <v>3.9812646370023415E-2</v>
      </c>
      <c r="G27" s="54">
        <v>1.4999999999999999E-2</v>
      </c>
      <c r="H27" s="54">
        <v>0.03</v>
      </c>
      <c r="I27" s="300">
        <f t="shared" si="0"/>
        <v>5.4812646370023414E-2</v>
      </c>
      <c r="J27" s="300">
        <f t="shared" si="1"/>
        <v>6.9812646370023407E-2</v>
      </c>
      <c r="K27" s="13"/>
    </row>
    <row r="28" spans="1:11" ht="17.25">
      <c r="A28" s="44" t="str">
        <f>+'S&amp;D'!A33</f>
        <v>Otter Tail Corp</v>
      </c>
      <c r="B28" s="35" t="str">
        <f>+'S&amp;D'!B33</f>
        <v>OTTR</v>
      </c>
      <c r="C28" s="35" t="str">
        <f>+'S&amp;D'!C33</f>
        <v>Electric Utility - Cent</v>
      </c>
      <c r="D28" s="60">
        <f>+'S&amp;D'!G33</f>
        <v>80.81</v>
      </c>
      <c r="E28" s="61">
        <f>+'S&amp;D'!D57</f>
        <v>3386385071.2000003</v>
      </c>
      <c r="F28" s="54">
        <f>+'Dividends '!H27</f>
        <v>3.0936765251825267E-2</v>
      </c>
      <c r="G28" s="54">
        <v>8.5000000000000006E-2</v>
      </c>
      <c r="H28" s="54">
        <v>-0.01</v>
      </c>
      <c r="I28" s="300">
        <f t="shared" si="0"/>
        <v>0.11593676525182528</v>
      </c>
      <c r="J28" s="300">
        <f t="shared" si="1"/>
        <v>2.0936765251825265E-2</v>
      </c>
      <c r="K28" s="13"/>
    </row>
    <row r="29" spans="1:11" ht="17.25">
      <c r="A29" s="44" t="str">
        <f>+'S&amp;D'!A34</f>
        <v>PPL Corporation</v>
      </c>
      <c r="B29" s="35" t="str">
        <f>+'S&amp;D'!B34</f>
        <v>PPL</v>
      </c>
      <c r="C29" s="35" t="str">
        <f>+'S&amp;D'!C34</f>
        <v>Electric Utility - East</v>
      </c>
      <c r="D29" s="60">
        <f>+'S&amp;D'!G34</f>
        <v>35.020000000000003</v>
      </c>
      <c r="E29" s="61">
        <f>+'S&amp;D'!D58</f>
        <v>26301455820.000004</v>
      </c>
      <c r="F29" s="54">
        <f>+'Dividends '!H28</f>
        <v>3.5122786978869211E-2</v>
      </c>
      <c r="G29" s="54">
        <v>6.5000000000000002E-2</v>
      </c>
      <c r="H29" s="54">
        <v>7.4999999999999997E-2</v>
      </c>
      <c r="I29" s="300">
        <f t="shared" ref="I29" si="4">+F29+G29</f>
        <v>0.10012278697886921</v>
      </c>
      <c r="J29" s="300">
        <f t="shared" ref="J29" si="5">+F29+H29</f>
        <v>0.11012278697886921</v>
      </c>
      <c r="K29" s="13"/>
    </row>
    <row r="30" spans="1:11" ht="17.25">
      <c r="A30" s="44" t="str">
        <f>+'S&amp;D'!A35</f>
        <v>The Southern Company</v>
      </c>
      <c r="B30" s="35" t="str">
        <f>+'S&amp;D'!B35</f>
        <v>SO</v>
      </c>
      <c r="C30" s="35" t="str">
        <f>+'S&amp;D'!C35</f>
        <v>Electric Utility - East</v>
      </c>
      <c r="D30" s="60">
        <f>+'S&amp;D'!G35</f>
        <v>87.2</v>
      </c>
      <c r="E30" s="61">
        <f>+'S&amp;D'!D59</f>
        <v>95832800000</v>
      </c>
      <c r="F30" s="54">
        <f>+'Dividends '!H29</f>
        <v>3.6009174311926608E-2</v>
      </c>
      <c r="G30" s="54">
        <v>3.5000000000000003E-2</v>
      </c>
      <c r="H30" s="54">
        <v>6.5000000000000002E-2</v>
      </c>
      <c r="I30" s="300">
        <f t="shared" si="0"/>
        <v>7.1009174311926604E-2</v>
      </c>
      <c r="J30" s="300">
        <f t="shared" si="1"/>
        <v>0.1010091743119266</v>
      </c>
      <c r="K30" s="13"/>
    </row>
    <row r="31" spans="1:11" ht="18" thickBot="1">
      <c r="A31" s="44" t="str">
        <f>+'S&amp;D'!A36</f>
        <v>WEC Energy Group</v>
      </c>
      <c r="B31" s="35" t="str">
        <f>+'S&amp;D'!B36</f>
        <v>WEC</v>
      </c>
      <c r="C31" s="35" t="str">
        <f>+'S&amp;D'!C36</f>
        <v>Electric Utility - Cent</v>
      </c>
      <c r="D31" s="60">
        <f>+'S&amp;D'!G36</f>
        <v>105.46</v>
      </c>
      <c r="E31" s="61">
        <f>+'S&amp;D'!D60</f>
        <v>34323171793.739998</v>
      </c>
      <c r="F31" s="301">
        <f>+'Dividends '!H30</f>
        <v>3.7929072634174096E-2</v>
      </c>
      <c r="G31" s="301">
        <v>7.0000000000000007E-2</v>
      </c>
      <c r="H31" s="301">
        <v>0.06</v>
      </c>
      <c r="I31" s="302">
        <f t="shared" si="0"/>
        <v>0.1079290726341741</v>
      </c>
      <c r="J31" s="302">
        <f t="shared" si="1"/>
        <v>9.7929072634174094E-2</v>
      </c>
      <c r="K31" s="13"/>
    </row>
    <row r="32" spans="1:11" ht="17.25" thickTop="1">
      <c r="A32" s="13"/>
      <c r="B32" s="13"/>
      <c r="C32" s="15" t="s">
        <v>0</v>
      </c>
      <c r="D32" s="16" t="s">
        <v>0</v>
      </c>
      <c r="E32" s="16" t="s">
        <v>64</v>
      </c>
      <c r="F32" s="360">
        <f>MAX(F17:F31)</f>
        <v>4.3332588787134238E-2</v>
      </c>
      <c r="G32" s="275">
        <f>MAX(G17:G31)</f>
        <v>8.5000000000000006E-2</v>
      </c>
      <c r="H32" s="275">
        <f>MAX(H17:H31)</f>
        <v>0.08</v>
      </c>
      <c r="I32" s="275">
        <f>MAX(I17:I31)</f>
        <v>0.11593676525182528</v>
      </c>
      <c r="J32" s="275">
        <f>MAX(J17:J31)</f>
        <v>0.11575003575003576</v>
      </c>
      <c r="K32" s="13"/>
    </row>
    <row r="33" spans="1:11" ht="16.5">
      <c r="A33" s="13"/>
      <c r="B33" s="13"/>
      <c r="C33" s="15"/>
      <c r="D33" s="16"/>
      <c r="E33" s="16" t="s">
        <v>65</v>
      </c>
      <c r="F33" s="361">
        <f>MIN(F17:F31)</f>
        <v>2.8994915070864439E-2</v>
      </c>
      <c r="G33" s="276">
        <f>MIN(G17:G31)</f>
        <v>1.4999999999999999E-2</v>
      </c>
      <c r="H33" s="276">
        <f>MIN(H17:H31)</f>
        <v>-0.01</v>
      </c>
      <c r="I33" s="276">
        <f>MIN(I17:I31)</f>
        <v>5.4812646370023414E-2</v>
      </c>
      <c r="J33" s="276">
        <f>MIN(J17:J31)</f>
        <v>2.0936765251825265E-2</v>
      </c>
      <c r="K33" s="13"/>
    </row>
    <row r="34" spans="1:11" ht="16.5">
      <c r="A34" s="13"/>
      <c r="B34" s="13"/>
      <c r="D34" s="18" t="s">
        <v>0</v>
      </c>
      <c r="E34" s="15" t="s">
        <v>18</v>
      </c>
      <c r="F34" s="55">
        <f>MEDIAN(F17:F31)</f>
        <v>3.5750035750035748E-2</v>
      </c>
      <c r="G34" s="307">
        <f>MEDIAN(G17:G31)</f>
        <v>5.5E-2</v>
      </c>
      <c r="H34" s="307">
        <f>MEDIAN(H17:H31)</f>
        <v>0.06</v>
      </c>
      <c r="I34" s="308">
        <f>MEDIAN(I17:I31)</f>
        <v>9.3332588787134241E-2</v>
      </c>
      <c r="J34" s="308">
        <f>MEDIAN(J17:J31)</f>
        <v>9.7710092995478198E-2</v>
      </c>
      <c r="K34" s="13"/>
    </row>
    <row r="35" spans="1:11" ht="16.5">
      <c r="A35" s="13"/>
      <c r="B35" s="13"/>
      <c r="D35" s="22" t="s">
        <v>0</v>
      </c>
      <c r="E35" s="15" t="s">
        <v>19</v>
      </c>
      <c r="F35" s="55">
        <f>AVERAGE(F17:F31)</f>
        <v>3.5673079556688074E-2</v>
      </c>
      <c r="G35" s="55">
        <f>AVERAGE(G17:G31)</f>
        <v>5.4333333333333331E-2</v>
      </c>
      <c r="H35" s="307">
        <f>AVERAGE(H17:H31)</f>
        <v>5.5333333333333339E-2</v>
      </c>
      <c r="I35" s="308">
        <f>AVERAGE(I17:I31)</f>
        <v>9.0006412890021384E-2</v>
      </c>
      <c r="J35" s="308">
        <f>AVERAGE(J17:J31)</f>
        <v>9.1006412890021413E-2</v>
      </c>
      <c r="K35" s="13"/>
    </row>
    <row r="36" spans="1:11" ht="16.5">
      <c r="A36" s="13"/>
      <c r="B36" s="13"/>
      <c r="C36" s="15"/>
      <c r="D36" s="22"/>
      <c r="E36" s="23"/>
      <c r="F36" s="19"/>
      <c r="G36" s="19"/>
      <c r="H36" s="20"/>
      <c r="I36" s="21"/>
      <c r="J36" s="21"/>
      <c r="K36" s="13"/>
    </row>
    <row r="37" spans="1:11" ht="17.25" thickBo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27" thickBot="1">
      <c r="A38" s="13"/>
      <c r="B38" s="13"/>
      <c r="C38" s="13"/>
      <c r="D38" s="13"/>
      <c r="E38" s="13"/>
      <c r="F38" s="13"/>
      <c r="G38" s="174" t="s">
        <v>205</v>
      </c>
      <c r="H38" s="176"/>
      <c r="I38" s="343">
        <v>0.09</v>
      </c>
      <c r="J38" s="13"/>
      <c r="K38" s="13"/>
    </row>
    <row r="39" spans="1:11" ht="17.25" thickBo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27" thickBot="1">
      <c r="A40" s="13"/>
      <c r="B40" s="13"/>
      <c r="C40" s="13"/>
      <c r="D40" s="13"/>
      <c r="E40" s="13"/>
      <c r="F40" s="13"/>
      <c r="G40" s="174" t="s">
        <v>204</v>
      </c>
      <c r="H40" s="177"/>
      <c r="I40" s="343">
        <v>9.0999999999999998E-2</v>
      </c>
      <c r="J40" s="13"/>
      <c r="K40" s="13"/>
    </row>
    <row r="41" spans="1:11" ht="16.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1" ht="26.25">
      <c r="A42" s="25" t="s">
        <v>372</v>
      </c>
      <c r="B42" s="13"/>
      <c r="C42" s="25" t="s">
        <v>373</v>
      </c>
      <c r="D42" s="13"/>
      <c r="E42" s="13"/>
      <c r="F42" s="13"/>
      <c r="G42" s="13"/>
      <c r="H42" s="13"/>
      <c r="I42" s="13"/>
      <c r="J42" s="13"/>
    </row>
    <row r="43" spans="1:11" ht="17.25">
      <c r="A43" s="63" t="s">
        <v>374</v>
      </c>
      <c r="B43" s="13"/>
      <c r="C43" s="63" t="s">
        <v>374</v>
      </c>
      <c r="D43" s="13"/>
      <c r="E43" s="13"/>
      <c r="F43" s="13"/>
      <c r="G43" s="13"/>
      <c r="H43" s="13"/>
      <c r="I43" s="13"/>
      <c r="J43" s="13"/>
    </row>
    <row r="44" spans="1:11" ht="17.25">
      <c r="A44" s="63" t="s">
        <v>375</v>
      </c>
      <c r="B44" s="13"/>
      <c r="C44" s="63" t="s">
        <v>376</v>
      </c>
      <c r="D44" s="13"/>
      <c r="E44" s="13"/>
      <c r="F44" s="13"/>
      <c r="G44" s="13"/>
      <c r="H44" s="13"/>
      <c r="I44" s="13"/>
      <c r="J44" s="13"/>
    </row>
    <row r="45" spans="1:11" ht="16.5">
      <c r="A45" s="44"/>
      <c r="B45" s="13"/>
      <c r="C45" s="44"/>
      <c r="D45" s="13"/>
      <c r="E45" s="13"/>
      <c r="F45" s="13"/>
      <c r="G45" s="13"/>
      <c r="H45" s="13"/>
      <c r="I45" s="13"/>
      <c r="J45" s="13"/>
    </row>
    <row r="46" spans="1:11" ht="16.5">
      <c r="A46" s="44"/>
      <c r="B46" s="13"/>
      <c r="C46" s="44"/>
      <c r="D46" s="13"/>
      <c r="E46" s="13"/>
      <c r="F46" s="13"/>
      <c r="G46" s="13"/>
      <c r="H46" s="13"/>
      <c r="I46" s="13"/>
      <c r="J46" s="13"/>
    </row>
    <row r="47" spans="1:11" ht="26.25">
      <c r="A47" s="25" t="s">
        <v>227</v>
      </c>
      <c r="B47" s="13"/>
      <c r="C47" s="25" t="s">
        <v>227</v>
      </c>
      <c r="D47" s="13"/>
      <c r="E47" s="13"/>
      <c r="F47" s="13"/>
      <c r="G47" s="13"/>
      <c r="H47" s="13"/>
      <c r="I47" s="13"/>
      <c r="J47" s="13"/>
    </row>
    <row r="48" spans="1:11" ht="16.5">
      <c r="A48" s="44"/>
      <c r="B48" s="13"/>
      <c r="C48" s="44"/>
      <c r="D48" s="13"/>
      <c r="E48" s="13"/>
      <c r="F48" s="13"/>
      <c r="H48" s="13"/>
      <c r="I48" s="13"/>
      <c r="J48" s="13"/>
    </row>
    <row r="49" spans="1:10" ht="17.25">
      <c r="A49" s="63" t="s">
        <v>228</v>
      </c>
      <c r="B49" s="13"/>
      <c r="C49" s="63" t="s">
        <v>228</v>
      </c>
      <c r="D49" s="13"/>
      <c r="E49" s="13"/>
      <c r="F49" s="13"/>
      <c r="G49" s="13"/>
      <c r="H49" s="13"/>
      <c r="I49" s="13"/>
      <c r="J49" s="13"/>
    </row>
    <row r="50" spans="1:10" ht="17.25">
      <c r="A50" s="63" t="s">
        <v>226</v>
      </c>
      <c r="B50" s="13"/>
      <c r="C50" s="63" t="s">
        <v>226</v>
      </c>
      <c r="D50" s="13"/>
      <c r="E50" s="13"/>
      <c r="F50" s="13"/>
      <c r="G50" s="13"/>
      <c r="H50" s="13"/>
      <c r="I50" s="13"/>
      <c r="J50" s="13"/>
    </row>
    <row r="51" spans="1:10" ht="17.25">
      <c r="A51" s="63" t="s">
        <v>229</v>
      </c>
      <c r="B51" s="13"/>
      <c r="C51" s="63" t="s">
        <v>229</v>
      </c>
      <c r="D51" s="13"/>
      <c r="E51" s="13"/>
      <c r="F51" s="13"/>
      <c r="G51" s="13"/>
      <c r="H51" s="13"/>
      <c r="I51" s="13"/>
      <c r="J51" s="13"/>
    </row>
    <row r="52" spans="1:10" ht="17.25">
      <c r="A52" s="63" t="s">
        <v>377</v>
      </c>
      <c r="B52" s="13"/>
      <c r="C52" s="63" t="s">
        <v>378</v>
      </c>
      <c r="D52" s="13"/>
      <c r="E52" s="13"/>
      <c r="F52" s="13"/>
      <c r="G52" s="13"/>
      <c r="H52" s="13"/>
      <c r="I52" s="13"/>
      <c r="J52" s="13"/>
    </row>
    <row r="53" spans="1:10" ht="17.25">
      <c r="A53" s="63"/>
      <c r="B53" s="13"/>
      <c r="C53" s="63"/>
      <c r="D53" s="13"/>
      <c r="E53" s="13"/>
      <c r="F53" s="13"/>
      <c r="G53" s="13"/>
      <c r="H53" s="13"/>
      <c r="I53" s="13"/>
      <c r="J53" s="13"/>
    </row>
    <row r="54" spans="1:10" ht="17.25">
      <c r="A54" s="63"/>
      <c r="B54" s="13"/>
      <c r="C54" s="63"/>
      <c r="D54" s="13"/>
      <c r="E54" s="13"/>
      <c r="F54" s="13"/>
      <c r="G54" s="13"/>
      <c r="H54" s="13"/>
      <c r="I54" s="13"/>
      <c r="J54" s="13"/>
    </row>
  </sheetData>
  <phoneticPr fontId="81" type="noConversion"/>
  <pageMargins left="0.25" right="0.25" top="0.75" bottom="0.75" header="0.3" footer="0.3"/>
  <pageSetup scale="4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>
    <tabColor rgb="FF92D050"/>
  </sheetPr>
  <dimension ref="A1:K121"/>
  <sheetViews>
    <sheetView view="pageBreakPreview" topLeftCell="A8" zoomScale="70" zoomScaleNormal="80" zoomScaleSheetLayoutView="70" workbookViewId="0">
      <selection activeCell="E16" sqref="E16"/>
    </sheetView>
  </sheetViews>
  <sheetFormatPr defaultRowHeight="15"/>
  <cols>
    <col min="1" max="1" width="47.85546875" customWidth="1"/>
    <col min="2" max="2" width="15.42578125" customWidth="1"/>
    <col min="3" max="3" width="24.5703125" customWidth="1"/>
    <col min="4" max="4" width="26.5703125" customWidth="1"/>
    <col min="5" max="5" width="33" customWidth="1"/>
    <col min="6" max="6" width="22.42578125" customWidth="1"/>
    <col min="7" max="7" width="27" customWidth="1"/>
    <col min="8" max="8" width="43" customWidth="1"/>
    <col min="9" max="9" width="15.42578125" customWidth="1"/>
    <col min="10" max="10" width="24.5703125" customWidth="1"/>
    <col min="11" max="11" width="24.140625" customWidth="1"/>
    <col min="13" max="13" width="10.5703125" customWidth="1"/>
  </cols>
  <sheetData>
    <row r="1" spans="1:9" ht="26.25">
      <c r="A1" s="25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7.25">
      <c r="A2" s="26" t="s">
        <v>9</v>
      </c>
      <c r="B2" s="13"/>
      <c r="C2" s="13"/>
      <c r="D2" s="13"/>
      <c r="E2" s="13"/>
      <c r="F2" s="13"/>
      <c r="G2" s="13"/>
      <c r="H2" s="13"/>
      <c r="I2" s="13"/>
    </row>
    <row r="3" spans="1:9" ht="16.5">
      <c r="A3" s="27" t="s">
        <v>475</v>
      </c>
      <c r="B3" s="13"/>
      <c r="C3" s="13"/>
      <c r="D3" s="13"/>
      <c r="E3" s="13"/>
      <c r="F3" s="13"/>
      <c r="G3" s="13"/>
      <c r="H3" s="13"/>
      <c r="I3" s="13"/>
    </row>
    <row r="4" spans="1:9" ht="16.5">
      <c r="A4" s="27"/>
      <c r="B4" s="13"/>
      <c r="C4" s="13"/>
      <c r="D4" s="13"/>
      <c r="E4" s="13"/>
      <c r="F4" s="13"/>
      <c r="G4" s="13"/>
      <c r="H4" s="13"/>
      <c r="I4" s="13"/>
    </row>
    <row r="5" spans="1:9" ht="17.25" thickBot="1">
      <c r="A5" s="13"/>
      <c r="B5" s="13"/>
      <c r="C5" s="13"/>
      <c r="D5" s="13"/>
      <c r="E5" s="13"/>
      <c r="F5" s="13"/>
      <c r="G5" s="13"/>
      <c r="H5" s="13"/>
      <c r="I5" s="28"/>
    </row>
    <row r="6" spans="1:9" ht="21" thickBot="1">
      <c r="A6" s="240" t="str">
        <f>+'S&amp;D'!A12</f>
        <v>Electric Utilities</v>
      </c>
      <c r="B6" s="177"/>
      <c r="C6" s="13"/>
      <c r="D6" s="13"/>
      <c r="E6" s="13"/>
      <c r="F6" s="13"/>
      <c r="G6" s="13"/>
      <c r="H6" s="13"/>
      <c r="I6" s="13"/>
    </row>
    <row r="7" spans="1:9" ht="20.25">
      <c r="A7" s="31"/>
      <c r="B7" s="13"/>
      <c r="C7" s="13"/>
      <c r="D7" s="13"/>
      <c r="E7" s="13"/>
      <c r="F7" s="13"/>
      <c r="G7" s="13"/>
      <c r="H7" s="13"/>
      <c r="I7" s="13"/>
    </row>
    <row r="8" spans="1:9" ht="21" thickBot="1">
      <c r="A8" s="31"/>
      <c r="B8" s="13"/>
      <c r="C8" s="13"/>
      <c r="D8" s="30"/>
      <c r="E8" s="30"/>
      <c r="F8" s="30"/>
      <c r="G8" s="13"/>
      <c r="H8" s="13"/>
      <c r="I8" s="13"/>
    </row>
    <row r="9" spans="1:9" ht="26.25">
      <c r="A9" s="31"/>
      <c r="B9" s="13"/>
      <c r="C9" s="13"/>
      <c r="D9" s="13"/>
      <c r="E9" s="32" t="s">
        <v>206</v>
      </c>
      <c r="F9" s="13"/>
      <c r="G9" s="13"/>
      <c r="H9" s="13"/>
      <c r="I9" s="13"/>
    </row>
    <row r="10" spans="1:9" ht="21" thickBot="1">
      <c r="A10" s="31"/>
      <c r="B10" s="13"/>
      <c r="C10" s="13"/>
      <c r="D10" s="30"/>
      <c r="E10" s="33" t="s">
        <v>488</v>
      </c>
      <c r="F10" s="30"/>
      <c r="G10" s="13"/>
      <c r="H10" s="13"/>
      <c r="I10" s="13"/>
    </row>
    <row r="11" spans="1:9" ht="20.25">
      <c r="A11" s="31"/>
      <c r="B11" s="13"/>
      <c r="C11" s="13"/>
      <c r="D11" s="13"/>
      <c r="E11" s="13"/>
      <c r="F11" s="35"/>
      <c r="G11" s="35"/>
      <c r="H11" s="13"/>
      <c r="I11" s="13"/>
    </row>
    <row r="12" spans="1:9" ht="20.25">
      <c r="A12" s="31"/>
      <c r="B12" s="13"/>
      <c r="C12" s="13"/>
      <c r="D12" s="13"/>
      <c r="E12" s="13"/>
      <c r="F12" s="35"/>
      <c r="G12" s="35"/>
      <c r="H12" s="13"/>
      <c r="I12" s="13"/>
    </row>
    <row r="13" spans="1:9" ht="45.75" customHeight="1" thickBot="1">
      <c r="A13" s="34" t="s">
        <v>0</v>
      </c>
      <c r="B13" s="34" t="s">
        <v>0</v>
      </c>
      <c r="C13" s="34" t="s">
        <v>0</v>
      </c>
      <c r="D13" s="30"/>
      <c r="E13" s="30"/>
      <c r="F13" s="34" t="s">
        <v>0</v>
      </c>
      <c r="G13" s="34"/>
      <c r="H13" s="34"/>
      <c r="I13" s="13"/>
    </row>
    <row r="14" spans="1:9" ht="16.5">
      <c r="A14" s="35" t="s">
        <v>0</v>
      </c>
      <c r="B14" s="35" t="s">
        <v>3</v>
      </c>
      <c r="C14" s="35" t="s">
        <v>5</v>
      </c>
      <c r="D14" s="35" t="s">
        <v>202</v>
      </c>
      <c r="E14" s="35" t="s">
        <v>203</v>
      </c>
      <c r="F14" s="35" t="s">
        <v>207</v>
      </c>
      <c r="G14" s="35" t="s">
        <v>19</v>
      </c>
      <c r="H14" s="35" t="s">
        <v>209</v>
      </c>
      <c r="I14" s="13"/>
    </row>
    <row r="15" spans="1:9" ht="16.5">
      <c r="A15" s="35" t="s">
        <v>2</v>
      </c>
      <c r="B15" s="35" t="s">
        <v>4</v>
      </c>
      <c r="C15" s="35" t="s">
        <v>6</v>
      </c>
      <c r="D15" s="35" t="s">
        <v>389</v>
      </c>
      <c r="E15" s="35" t="s">
        <v>391</v>
      </c>
      <c r="F15" s="35" t="s">
        <v>156</v>
      </c>
      <c r="G15" s="35" t="s">
        <v>208</v>
      </c>
      <c r="H15" s="35" t="s">
        <v>198</v>
      </c>
      <c r="I15" s="13"/>
    </row>
    <row r="16" spans="1:9" ht="16.5">
      <c r="A16" s="35"/>
      <c r="B16" s="35" t="s">
        <v>0</v>
      </c>
      <c r="C16" s="35" t="s">
        <v>0</v>
      </c>
      <c r="D16" s="35" t="s">
        <v>0</v>
      </c>
      <c r="E16" s="36" t="s">
        <v>390</v>
      </c>
      <c r="F16" s="36" t="s">
        <v>0</v>
      </c>
      <c r="G16" s="35" t="s">
        <v>213</v>
      </c>
      <c r="H16" s="36" t="s">
        <v>214</v>
      </c>
      <c r="I16" s="13"/>
    </row>
    <row r="17" spans="1:11" ht="18" customHeight="1" thickBot="1">
      <c r="A17" s="67" t="s">
        <v>0</v>
      </c>
      <c r="B17" s="38" t="s">
        <v>0</v>
      </c>
      <c r="C17" s="38" t="s">
        <v>0</v>
      </c>
      <c r="D17" s="33" t="s">
        <v>211</v>
      </c>
      <c r="E17" s="33" t="s">
        <v>212</v>
      </c>
      <c r="F17" s="33" t="s">
        <v>210</v>
      </c>
      <c r="G17" s="35" t="s">
        <v>127</v>
      </c>
      <c r="H17" s="144"/>
      <c r="I17" s="13"/>
    </row>
    <row r="18" spans="1:11" ht="16.5">
      <c r="A18" s="39" t="s">
        <v>0</v>
      </c>
      <c r="B18" s="39" t="s">
        <v>0</v>
      </c>
      <c r="C18" s="39" t="s">
        <v>0</v>
      </c>
      <c r="D18" s="39" t="s">
        <v>7</v>
      </c>
      <c r="E18" s="39" t="s">
        <v>7</v>
      </c>
      <c r="F18" s="39" t="s">
        <v>0</v>
      </c>
      <c r="G18" s="68" t="s">
        <v>0</v>
      </c>
      <c r="H18" s="39" t="s">
        <v>0</v>
      </c>
      <c r="I18" s="13"/>
    </row>
    <row r="19" spans="1:11" ht="16.5">
      <c r="A19" s="35"/>
      <c r="B19" s="35"/>
      <c r="C19" s="35"/>
      <c r="D19" s="35"/>
      <c r="E19" s="13"/>
      <c r="F19" s="35"/>
      <c r="G19" s="13"/>
      <c r="H19" s="13"/>
      <c r="I19" s="13"/>
      <c r="J19" t="s">
        <v>0</v>
      </c>
      <c r="K19" t="s">
        <v>0</v>
      </c>
    </row>
    <row r="20" spans="1:11" ht="16.5">
      <c r="A20" s="13"/>
      <c r="B20" s="13"/>
      <c r="C20" s="13"/>
      <c r="D20" s="13"/>
      <c r="E20" s="13"/>
      <c r="F20" s="13"/>
      <c r="G20" s="13"/>
      <c r="H20" s="13" t="s">
        <v>0</v>
      </c>
      <c r="I20" s="13"/>
      <c r="J20" t="s">
        <v>0</v>
      </c>
      <c r="K20" t="s">
        <v>0</v>
      </c>
    </row>
    <row r="21" spans="1:11" ht="16.5">
      <c r="A21" s="44" t="str">
        <f>+'S&amp;D'!A22</f>
        <v>Alliant Energy</v>
      </c>
      <c r="B21" s="35" t="str">
        <f>+'S&amp;D'!B22</f>
        <v>LNT</v>
      </c>
      <c r="C21" s="35" t="str">
        <f>+'S&amp;D'!C22</f>
        <v>Electric Utility - Cent</v>
      </c>
      <c r="D21" s="66">
        <f>+'Single Stage Div Growth Model'!F17</f>
        <v>3.5071527457314254E-2</v>
      </c>
      <c r="E21" s="66">
        <f>+'Single Stage Div Growth Model'!H17</f>
        <v>0.06</v>
      </c>
      <c r="F21" s="66">
        <f>+'Growth &amp; Inflation Rates'!$F$56</f>
        <v>4.2900000000000001E-2</v>
      </c>
      <c r="G21" s="66">
        <f t="shared" ref="G21:G35" si="0">(F21+E21)/2</f>
        <v>5.1449999999999996E-2</v>
      </c>
      <c r="H21" s="66">
        <f t="shared" ref="H21:H35" si="1">D21*(1+(0.5*G21))+(0.67*E21)+(0.33*F21)</f>
        <v>9.0330742501153666E-2</v>
      </c>
      <c r="I21" s="13"/>
      <c r="J21" t="s">
        <v>0</v>
      </c>
      <c r="K21" t="s">
        <v>0</v>
      </c>
    </row>
    <row r="22" spans="1:11" ht="16.5">
      <c r="A22" s="44" t="str">
        <f>+'S&amp;D'!A23</f>
        <v>AMEREN Corporation</v>
      </c>
      <c r="B22" s="35" t="str">
        <f>+'S&amp;D'!B23</f>
        <v>AEE</v>
      </c>
      <c r="C22" s="35" t="str">
        <f>+'S&amp;D'!C23</f>
        <v>Electric Utility - Cent</v>
      </c>
      <c r="D22" s="66">
        <f>+'Single Stage Div Growth Model'!F18</f>
        <v>3.2044862807931104E-2</v>
      </c>
      <c r="E22" s="66">
        <f>+'Single Stage Div Growth Model'!H18</f>
        <v>6.5000000000000002E-2</v>
      </c>
      <c r="F22" s="66">
        <f>+'Growth &amp; Inflation Rates'!$F$56</f>
        <v>4.2900000000000001E-2</v>
      </c>
      <c r="G22" s="66">
        <f t="shared" si="0"/>
        <v>5.3949999999999998E-2</v>
      </c>
      <c r="H22" s="66">
        <f t="shared" si="1"/>
        <v>9.0616272982175061E-2</v>
      </c>
      <c r="I22" s="13"/>
      <c r="J22" t="s">
        <v>0</v>
      </c>
      <c r="K22" t="s">
        <v>0</v>
      </c>
    </row>
    <row r="23" spans="1:11" ht="16.5">
      <c r="A23" s="44" t="str">
        <f>+'S&amp;D'!A24</f>
        <v>American Electric Power</v>
      </c>
      <c r="B23" s="35" t="str">
        <f>+'S&amp;D'!B24</f>
        <v>AEP</v>
      </c>
      <c r="C23" s="35" t="str">
        <f>+'S&amp;D'!C24</f>
        <v>Electric Utility - Cent</v>
      </c>
      <c r="D23" s="66">
        <f>+'Single Stage Div Growth Model'!F19</f>
        <v>3.5382880929667855E-2</v>
      </c>
      <c r="E23" s="66">
        <f>+'Single Stage Div Growth Model'!H19</f>
        <v>6.5000000000000002E-2</v>
      </c>
      <c r="F23" s="66">
        <f>+'Growth &amp; Inflation Rates'!$F$56</f>
        <v>4.2900000000000001E-2</v>
      </c>
      <c r="G23" s="66">
        <f t="shared" si="0"/>
        <v>5.3949999999999998E-2</v>
      </c>
      <c r="H23" s="66">
        <f t="shared" si="1"/>
        <v>9.4044334142745656E-2</v>
      </c>
      <c r="I23" s="13"/>
      <c r="J23" t="s">
        <v>0</v>
      </c>
      <c r="K23" t="s">
        <v>0</v>
      </c>
    </row>
    <row r="24" spans="1:11" ht="16.5">
      <c r="A24" s="44" t="str">
        <f>+'S&amp;D'!A25</f>
        <v>Centerpoint Energy</v>
      </c>
      <c r="B24" s="35" t="str">
        <f>+'S&amp;D'!B25</f>
        <v>CNP</v>
      </c>
      <c r="C24" s="35" t="str">
        <f>+'S&amp;D'!C25</f>
        <v>Electric Utility - Cent</v>
      </c>
      <c r="D24" s="66">
        <f>+'Single Stage Div Growth Model'!F20</f>
        <v>2.999478351591027E-2</v>
      </c>
      <c r="E24" s="66">
        <f>+'Single Stage Div Growth Model'!H20</f>
        <v>0.08</v>
      </c>
      <c r="F24" s="66">
        <f>+'Growth &amp; Inflation Rates'!$F$56</f>
        <v>4.2900000000000001E-2</v>
      </c>
      <c r="G24" s="66">
        <f t="shared" si="0"/>
        <v>6.1450000000000005E-2</v>
      </c>
      <c r="H24" s="66">
        <f t="shared" si="1"/>
        <v>9.8673373239436618E-2</v>
      </c>
      <c r="I24" s="13"/>
      <c r="J24" t="s">
        <v>0</v>
      </c>
      <c r="K24" t="s">
        <v>0</v>
      </c>
    </row>
    <row r="25" spans="1:11" ht="16.5">
      <c r="A25" s="44" t="str">
        <f>+'S&amp;D'!A26</f>
        <v>CMS Energy</v>
      </c>
      <c r="B25" s="35" t="str">
        <f>+'S&amp;D'!B26</f>
        <v>CMS</v>
      </c>
      <c r="C25" s="35" t="str">
        <f>+'S&amp;D'!C26</f>
        <v>Electric Utility - Cent</v>
      </c>
      <c r="D25" s="66">
        <f>+'Single Stage Div Growth Model'!F21</f>
        <v>3.5750035750035748E-2</v>
      </c>
      <c r="E25" s="66">
        <f>+'Single Stage Div Growth Model'!H21</f>
        <v>0.08</v>
      </c>
      <c r="F25" s="66">
        <f>+'Growth &amp; Inflation Rates'!$F$56</f>
        <v>4.2900000000000001E-2</v>
      </c>
      <c r="G25" s="66">
        <f t="shared" si="0"/>
        <v>6.1450000000000005E-2</v>
      </c>
      <c r="H25" s="66">
        <f t="shared" si="1"/>
        <v>0.1046054555984556</v>
      </c>
      <c r="I25" s="13"/>
      <c r="J25" s="12" t="s">
        <v>0</v>
      </c>
      <c r="K25" t="s">
        <v>0</v>
      </c>
    </row>
    <row r="26" spans="1:11" ht="16.5">
      <c r="A26" s="44" t="str">
        <f>+'S&amp;D'!A27</f>
        <v>DTE Energy</v>
      </c>
      <c r="B26" s="35" t="str">
        <f>+'S&amp;D'!B27</f>
        <v>DTE</v>
      </c>
      <c r="C26" s="35" t="str">
        <f>+'S&amp;D'!C27</f>
        <v>Electric Utility - Cent</v>
      </c>
      <c r="D26" s="66">
        <f>+'Single Stage Div Growth Model'!F22</f>
        <v>3.8378043107458522E-2</v>
      </c>
      <c r="E26" s="66">
        <f>+'Single Stage Div Growth Model'!H22</f>
        <v>5.5E-2</v>
      </c>
      <c r="F26" s="66">
        <f>+'Growth &amp; Inflation Rates'!$F$56</f>
        <v>4.2900000000000001E-2</v>
      </c>
      <c r="G26" s="66">
        <f t="shared" si="0"/>
        <v>4.895E-2</v>
      </c>
      <c r="H26" s="66">
        <f t="shared" si="1"/>
        <v>9.0324345712513576E-2</v>
      </c>
      <c r="I26" s="13"/>
      <c r="J26" s="12" t="s">
        <v>0</v>
      </c>
    </row>
    <row r="27" spans="1:11" ht="16.5">
      <c r="A27" s="44" t="str">
        <f>+'S&amp;D'!A28</f>
        <v>Duke Energy</v>
      </c>
      <c r="B27" s="35" t="str">
        <f>+'S&amp;D'!B28</f>
        <v>DUK</v>
      </c>
      <c r="C27" s="35" t="str">
        <f>+'S&amp;D'!C28</f>
        <v>Electric Utility - East</v>
      </c>
      <c r="D27" s="66">
        <f>+'Single Stage Div Growth Model'!F23</f>
        <v>3.77100929954782E-2</v>
      </c>
      <c r="E27" s="66">
        <f>+'Single Stage Div Growth Model'!H23</f>
        <v>0.06</v>
      </c>
      <c r="F27" s="66">
        <f>+'Growth &amp; Inflation Rates'!$F$56</f>
        <v>4.2900000000000001E-2</v>
      </c>
      <c r="G27" s="66">
        <f t="shared" si="0"/>
        <v>5.1449999999999996E-2</v>
      </c>
      <c r="H27" s="66">
        <f t="shared" si="1"/>
        <v>9.3037185137786887E-2</v>
      </c>
      <c r="I27" s="13"/>
      <c r="J27" t="s">
        <v>0</v>
      </c>
    </row>
    <row r="28" spans="1:11" ht="16.5">
      <c r="A28" s="44" t="str">
        <f>+'S&amp;D'!A29</f>
        <v>Entergy Corp</v>
      </c>
      <c r="B28" s="35" t="str">
        <f>+'S&amp;D'!B29</f>
        <v>ETR</v>
      </c>
      <c r="C28" s="35" t="str">
        <f>+'S&amp;D'!C29</f>
        <v>Electric Utility - Cent</v>
      </c>
      <c r="D28" s="66">
        <f>+'Single Stage Div Growth Model'!F24</f>
        <v>2.8994915070864439E-2</v>
      </c>
      <c r="E28" s="66">
        <f>+'Single Stage Div Growth Model'!H24</f>
        <v>0.03</v>
      </c>
      <c r="F28" s="66">
        <f>+'Growth &amp; Inflation Rates'!$F$56</f>
        <v>4.2900000000000001E-2</v>
      </c>
      <c r="G28" s="66">
        <f t="shared" si="0"/>
        <v>3.6449999999999996E-2</v>
      </c>
      <c r="H28" s="66">
        <f t="shared" si="1"/>
        <v>6.3780347398030943E-2</v>
      </c>
      <c r="I28" s="13"/>
    </row>
    <row r="29" spans="1:11" ht="16.5">
      <c r="A29" s="44" t="str">
        <f>+'S&amp;D'!A30</f>
        <v>Evergy Inc</v>
      </c>
      <c r="B29" s="35" t="str">
        <f>+'S&amp;D'!B30</f>
        <v>EVRG</v>
      </c>
      <c r="C29" s="35" t="str">
        <f>+'S&amp;D'!C30</f>
        <v>Electric Utility - Cent</v>
      </c>
      <c r="D29" s="66">
        <f>+'Single Stage Div Growth Model'!F25</f>
        <v>3.8626017381707824E-2</v>
      </c>
      <c r="E29" s="66">
        <f>+'Single Stage Div Growth Model'!H25</f>
        <v>6.5000000000000002E-2</v>
      </c>
      <c r="F29" s="66">
        <f>+'Growth &amp; Inflation Rates'!$F$56</f>
        <v>4.2900000000000001E-2</v>
      </c>
      <c r="G29" s="66">
        <f t="shared" si="0"/>
        <v>5.3949999999999998E-2</v>
      </c>
      <c r="H29" s="66">
        <f t="shared" si="1"/>
        <v>9.73749542005794E-2</v>
      </c>
      <c r="I29" s="13"/>
    </row>
    <row r="30" spans="1:11" ht="16.5">
      <c r="A30" s="44" t="str">
        <f>+'S&amp;D'!A31</f>
        <v>FirstEnergy Corp</v>
      </c>
      <c r="B30" s="35" t="str">
        <f>+'S&amp;D'!B31</f>
        <v>FE</v>
      </c>
      <c r="C30" s="35" t="str">
        <f>+'S&amp;D'!C31</f>
        <v>Electric Utility - East</v>
      </c>
      <c r="D30" s="66">
        <f>+'Single Stage Div Growth Model'!F26</f>
        <v>4.3332588787134238E-2</v>
      </c>
      <c r="E30" s="66">
        <f>+'Single Stage Div Growth Model'!H26</f>
        <v>0.05</v>
      </c>
      <c r="F30" s="66">
        <f>+'Growth &amp; Inflation Rates'!$F$56</f>
        <v>4.2900000000000001E-2</v>
      </c>
      <c r="G30" s="66">
        <f t="shared" si="0"/>
        <v>4.6450000000000005E-2</v>
      </c>
      <c r="H30" s="66">
        <f t="shared" si="1"/>
        <v>9.1995988161715447E-2</v>
      </c>
      <c r="I30" s="13"/>
    </row>
    <row r="31" spans="1:11" ht="16.5">
      <c r="A31" s="44" t="str">
        <f>+'S&amp;D'!A32</f>
        <v>OGE Energy Corp.</v>
      </c>
      <c r="B31" s="35" t="str">
        <f>+'S&amp;D'!B32</f>
        <v>OGE</v>
      </c>
      <c r="C31" s="35" t="str">
        <f>+'S&amp;D'!C32</f>
        <v>Electric Utility - Cent</v>
      </c>
      <c r="D31" s="66">
        <f>+'Single Stage Div Growth Model'!F27</f>
        <v>3.9812646370023415E-2</v>
      </c>
      <c r="E31" s="66">
        <f>+'Single Stage Div Growth Model'!H27</f>
        <v>0.03</v>
      </c>
      <c r="F31" s="66">
        <f>+'Growth &amp; Inflation Rates'!$F$56</f>
        <v>4.2900000000000001E-2</v>
      </c>
      <c r="G31" s="66">
        <f t="shared" si="0"/>
        <v>3.6449999999999996E-2</v>
      </c>
      <c r="H31" s="66">
        <f t="shared" si="1"/>
        <v>7.4795231850117092E-2</v>
      </c>
      <c r="I31" s="13"/>
    </row>
    <row r="32" spans="1:11" ht="16.5">
      <c r="A32" s="44" t="str">
        <f>+'S&amp;D'!A33</f>
        <v>Otter Tail Corp</v>
      </c>
      <c r="B32" s="35" t="str">
        <f>+'S&amp;D'!B33</f>
        <v>OTTR</v>
      </c>
      <c r="C32" s="35" t="str">
        <f>+'S&amp;D'!C33</f>
        <v>Electric Utility - Cent</v>
      </c>
      <c r="D32" s="66">
        <f>+'Single Stage Div Growth Model'!F28</f>
        <v>3.0936765251825267E-2</v>
      </c>
      <c r="E32" s="66">
        <f>+'Single Stage Div Growth Model'!H28</f>
        <v>-0.01</v>
      </c>
      <c r="F32" s="66">
        <f>+'Growth &amp; Inflation Rates'!$F$56</f>
        <v>4.2900000000000001E-2</v>
      </c>
      <c r="G32" s="66">
        <f t="shared" si="0"/>
        <v>1.6449999999999999E-2</v>
      </c>
      <c r="H32" s="66">
        <f t="shared" si="1"/>
        <v>3.8648220146021525E-2</v>
      </c>
      <c r="I32" s="13"/>
    </row>
    <row r="33" spans="1:9" ht="16.5">
      <c r="A33" s="44" t="str">
        <f>+'S&amp;D'!A34</f>
        <v>PPL Corporation</v>
      </c>
      <c r="B33" s="35" t="str">
        <f>+'S&amp;D'!B34</f>
        <v>PPL</v>
      </c>
      <c r="C33" s="35" t="str">
        <f>+'S&amp;D'!C34</f>
        <v>Electric Utility - East</v>
      </c>
      <c r="D33" s="66">
        <f>+'Single Stage Div Growth Model'!F29</f>
        <v>3.5122786978869211E-2</v>
      </c>
      <c r="E33" s="66">
        <f>+'Single Stage Div Growth Model'!H29</f>
        <v>7.4999999999999997E-2</v>
      </c>
      <c r="F33" s="66">
        <f>+'Growth &amp; Inflation Rates'!$F$56</f>
        <v>4.2900000000000001E-2</v>
      </c>
      <c r="G33" s="66">
        <f t="shared" si="0"/>
        <v>5.8950000000000002E-2</v>
      </c>
      <c r="H33" s="66">
        <f t="shared" si="1"/>
        <v>0.10056503112507138</v>
      </c>
      <c r="I33" s="13"/>
    </row>
    <row r="34" spans="1:9" ht="16.5">
      <c r="A34" s="44" t="str">
        <f>+'S&amp;D'!A35</f>
        <v>The Southern Company</v>
      </c>
      <c r="B34" s="35" t="str">
        <f>+'S&amp;D'!B35</f>
        <v>SO</v>
      </c>
      <c r="C34" s="35" t="str">
        <f>+'S&amp;D'!C35</f>
        <v>Electric Utility - East</v>
      </c>
      <c r="D34" s="66">
        <f>+'Single Stage Div Growth Model'!F30</f>
        <v>3.6009174311926608E-2</v>
      </c>
      <c r="E34" s="66">
        <f>+'Single Stage Div Growth Model'!H30</f>
        <v>6.5000000000000002E-2</v>
      </c>
      <c r="F34" s="66">
        <f>+'Growth &amp; Inflation Rates'!$F$56</f>
        <v>4.2900000000000001E-2</v>
      </c>
      <c r="G34" s="66">
        <f t="shared" si="0"/>
        <v>5.3949999999999998E-2</v>
      </c>
      <c r="H34" s="66">
        <f t="shared" si="1"/>
        <v>9.4687521788990842E-2</v>
      </c>
      <c r="I34" s="13"/>
    </row>
    <row r="35" spans="1:9" ht="17.25" thickBot="1">
      <c r="A35" s="44" t="str">
        <f>+'S&amp;D'!A36</f>
        <v>WEC Energy Group</v>
      </c>
      <c r="B35" s="35" t="str">
        <f>+'S&amp;D'!B36</f>
        <v>WEC</v>
      </c>
      <c r="C35" s="35" t="str">
        <f>+'S&amp;D'!C36</f>
        <v>Electric Utility - Cent</v>
      </c>
      <c r="D35" s="66">
        <f>+'Single Stage Div Growth Model'!F31</f>
        <v>3.7929072634174096E-2</v>
      </c>
      <c r="E35" s="66">
        <f>+'Single Stage Div Growth Model'!H31</f>
        <v>0.06</v>
      </c>
      <c r="F35" s="66">
        <f>+'Growth &amp; Inflation Rates'!$F$56</f>
        <v>4.2900000000000001E-2</v>
      </c>
      <c r="G35" s="66">
        <f t="shared" si="0"/>
        <v>5.1449999999999996E-2</v>
      </c>
      <c r="H35" s="140">
        <f t="shared" si="1"/>
        <v>9.326179802768822E-2</v>
      </c>
      <c r="I35" s="13"/>
    </row>
    <row r="36" spans="1:9" ht="17.25" thickTop="1">
      <c r="A36" s="13"/>
      <c r="B36" s="13"/>
      <c r="C36" s="13"/>
      <c r="D36" s="13"/>
      <c r="E36" s="13"/>
      <c r="F36" s="13"/>
      <c r="G36" s="168" t="s">
        <v>64</v>
      </c>
      <c r="H36" s="56">
        <f>MAX(H21:H35)</f>
        <v>0.1046054555984556</v>
      </c>
      <c r="I36" s="13"/>
    </row>
    <row r="37" spans="1:9" ht="16.5">
      <c r="A37" s="13"/>
      <c r="B37" s="13"/>
      <c r="C37" s="15" t="s">
        <v>0</v>
      </c>
      <c r="D37" s="16" t="s">
        <v>0</v>
      </c>
      <c r="E37" s="16" t="s">
        <v>0</v>
      </c>
      <c r="F37" s="17" t="s">
        <v>0</v>
      </c>
      <c r="G37" s="17" t="s">
        <v>65</v>
      </c>
      <c r="H37" s="268">
        <f>MIN(H21:H35)</f>
        <v>3.8648220146021525E-2</v>
      </c>
      <c r="I37" s="13"/>
    </row>
    <row r="38" spans="1:9" ht="16.5">
      <c r="A38" s="13"/>
      <c r="B38" s="13"/>
      <c r="D38" s="56" t="s">
        <v>0</v>
      </c>
      <c r="E38" s="50" t="s">
        <v>0</v>
      </c>
      <c r="F38" s="50" t="s">
        <v>0</v>
      </c>
      <c r="G38" s="15" t="s">
        <v>18</v>
      </c>
      <c r="H38" s="51">
        <f>MEDIAN(H21:H35)</f>
        <v>9.3037185137786887E-2</v>
      </c>
      <c r="I38" s="13"/>
    </row>
    <row r="39" spans="1:9" ht="16.5">
      <c r="A39" s="13"/>
      <c r="B39" s="13"/>
      <c r="D39" s="56" t="s">
        <v>0</v>
      </c>
      <c r="E39" s="50" t="s">
        <v>0</v>
      </c>
      <c r="F39" s="56" t="s">
        <v>0</v>
      </c>
      <c r="G39" s="15" t="s">
        <v>19</v>
      </c>
      <c r="H39" s="51">
        <f>AVERAGE(H21:H35)</f>
        <v>8.7782720134165451E-2</v>
      </c>
      <c r="I39" s="13"/>
    </row>
    <row r="40" spans="1:9" ht="16.5">
      <c r="A40" s="13"/>
      <c r="B40" s="13"/>
      <c r="C40" s="15"/>
      <c r="D40" s="19"/>
      <c r="E40" s="20"/>
      <c r="F40" s="19"/>
      <c r="G40" s="21"/>
      <c r="H40" s="21"/>
      <c r="I40" s="13"/>
    </row>
    <row r="41" spans="1:9" ht="17.25" thickBot="1">
      <c r="A41" s="13"/>
      <c r="B41" s="13"/>
      <c r="C41" s="13"/>
      <c r="D41" s="13"/>
      <c r="E41" s="13"/>
      <c r="F41" s="13"/>
      <c r="G41" s="13"/>
      <c r="H41" s="13"/>
      <c r="I41" s="13"/>
    </row>
    <row r="42" spans="1:9" ht="27" thickBot="1">
      <c r="A42" s="13"/>
      <c r="B42" s="13"/>
      <c r="C42" s="13"/>
      <c r="D42" s="13"/>
      <c r="F42" s="174"/>
      <c r="G42" s="175" t="s">
        <v>259</v>
      </c>
      <c r="H42" s="344">
        <v>8.7800000000000003E-2</v>
      </c>
      <c r="I42" s="13"/>
    </row>
    <row r="43" spans="1:9" ht="16.5">
      <c r="A43" s="13"/>
      <c r="B43" s="13"/>
      <c r="C43" s="13"/>
      <c r="D43" s="13"/>
      <c r="E43" s="13"/>
      <c r="F43" s="13"/>
      <c r="G43" s="13"/>
      <c r="H43" s="13"/>
      <c r="I43" s="13"/>
    </row>
    <row r="44" spans="1:9" ht="27">
      <c r="A44" s="25" t="s">
        <v>325</v>
      </c>
      <c r="B44" s="13"/>
      <c r="C44" s="13"/>
      <c r="D44" s="13"/>
      <c r="E44" s="13"/>
      <c r="F44" s="13"/>
      <c r="G44" s="24" t="s">
        <v>0</v>
      </c>
      <c r="H44" s="13"/>
      <c r="I44" s="13"/>
    </row>
    <row r="45" spans="1:9" ht="16.5">
      <c r="A45" s="44"/>
      <c r="B45" s="13"/>
      <c r="C45" s="13"/>
      <c r="D45" s="13"/>
      <c r="E45" s="13"/>
      <c r="F45" s="13"/>
      <c r="G45" s="13"/>
      <c r="H45" s="13"/>
      <c r="I45" s="13"/>
    </row>
    <row r="46" spans="1:9" ht="17.25">
      <c r="A46" s="63" t="s">
        <v>228</v>
      </c>
      <c r="B46" s="13"/>
      <c r="C46" s="13"/>
      <c r="D46" s="13"/>
      <c r="E46" s="13"/>
      <c r="F46" s="13"/>
      <c r="G46" s="13"/>
      <c r="H46" s="13"/>
      <c r="I46" s="13"/>
    </row>
    <row r="47" spans="1:9" ht="17.25">
      <c r="A47" s="63" t="s">
        <v>326</v>
      </c>
      <c r="B47" s="13"/>
      <c r="C47" s="13"/>
      <c r="D47" s="13"/>
      <c r="E47" s="13"/>
      <c r="F47" s="13"/>
      <c r="G47" s="13"/>
      <c r="H47" s="13"/>
      <c r="I47" s="13"/>
    </row>
    <row r="48" spans="1:9" ht="17.25">
      <c r="A48" s="63" t="s">
        <v>327</v>
      </c>
      <c r="B48" s="13"/>
      <c r="C48" s="13"/>
      <c r="D48" s="13"/>
      <c r="E48" s="13"/>
      <c r="F48" s="13"/>
      <c r="G48" s="13"/>
      <c r="H48" s="13"/>
      <c r="I48" s="13"/>
    </row>
    <row r="49" spans="1:9" ht="17.25">
      <c r="A49" s="63" t="s">
        <v>328</v>
      </c>
      <c r="B49" s="13"/>
      <c r="C49" s="13"/>
      <c r="D49" s="13"/>
      <c r="E49" s="13"/>
      <c r="F49" s="13"/>
      <c r="G49" s="13"/>
      <c r="H49" s="13"/>
      <c r="I49" s="13"/>
    </row>
    <row r="50" spans="1:9" ht="17.25">
      <c r="A50" s="63" t="s">
        <v>329</v>
      </c>
      <c r="B50" s="13"/>
      <c r="C50" s="13"/>
      <c r="D50" s="13"/>
      <c r="E50" s="13"/>
      <c r="F50" s="13"/>
      <c r="G50" s="13"/>
      <c r="H50" s="13"/>
      <c r="I50" s="13"/>
    </row>
    <row r="51" spans="1:9" ht="16.5">
      <c r="A51" s="13"/>
      <c r="B51" s="13"/>
      <c r="C51" s="13"/>
      <c r="D51" s="13"/>
      <c r="E51" s="13"/>
      <c r="F51" s="13"/>
      <c r="G51" s="13"/>
      <c r="H51" s="13"/>
      <c r="I51" s="13"/>
    </row>
    <row r="52" spans="1:9" ht="16.5">
      <c r="A52" s="44" t="s">
        <v>0</v>
      </c>
      <c r="B52" s="13"/>
      <c r="C52" s="13"/>
      <c r="D52" s="13"/>
      <c r="E52" s="13"/>
      <c r="F52" s="13"/>
      <c r="G52" s="13"/>
      <c r="H52" s="13"/>
      <c r="I52" s="13"/>
    </row>
    <row r="53" spans="1:9" ht="16.5">
      <c r="A53" s="44"/>
      <c r="B53" s="13"/>
      <c r="C53" s="13"/>
      <c r="D53" s="13"/>
      <c r="E53" s="13"/>
      <c r="F53" s="13"/>
      <c r="G53" s="13"/>
      <c r="H53" s="13"/>
      <c r="I53" s="13"/>
    </row>
    <row r="54" spans="1:9" ht="16.5">
      <c r="A54" s="13"/>
      <c r="B54" s="13"/>
      <c r="C54" s="13"/>
      <c r="D54" s="13"/>
      <c r="E54" s="13"/>
      <c r="F54" s="13"/>
      <c r="G54" s="13"/>
      <c r="H54" s="13"/>
      <c r="I54" s="13"/>
    </row>
    <row r="55" spans="1:9" ht="16.5">
      <c r="A55" s="13"/>
      <c r="B55" s="13"/>
      <c r="C55" s="13"/>
      <c r="D55" s="13"/>
      <c r="E55" s="13"/>
      <c r="F55" s="13"/>
      <c r="G55" s="13"/>
      <c r="H55" s="13"/>
      <c r="I55" s="13"/>
    </row>
    <row r="56" spans="1:9" ht="16.5">
      <c r="A56" s="13"/>
      <c r="B56" s="13"/>
      <c r="C56" s="13"/>
      <c r="D56" s="13"/>
      <c r="E56" s="13"/>
      <c r="F56" s="13"/>
      <c r="G56" s="13"/>
      <c r="H56" s="13"/>
      <c r="I56" s="13"/>
    </row>
    <row r="57" spans="1:9" ht="16.5">
      <c r="A57" s="13"/>
      <c r="B57" s="13"/>
      <c r="C57" s="13"/>
      <c r="D57" s="13"/>
      <c r="E57" s="13"/>
      <c r="F57" s="13"/>
      <c r="G57" s="13"/>
      <c r="H57" s="13"/>
      <c r="I57" s="13"/>
    </row>
    <row r="58" spans="1:9" ht="16.5">
      <c r="C58" s="13"/>
      <c r="D58" s="13"/>
      <c r="E58" s="13"/>
      <c r="F58" s="13"/>
      <c r="G58" s="13"/>
      <c r="H58" s="13"/>
      <c r="I58" s="13"/>
    </row>
    <row r="59" spans="1:9" ht="16.5">
      <c r="C59" s="13"/>
      <c r="D59" s="13"/>
      <c r="E59" s="13"/>
      <c r="F59" s="13"/>
      <c r="G59" s="13"/>
      <c r="H59" s="13"/>
      <c r="I59" s="13"/>
    </row>
    <row r="60" spans="1:9" ht="16.5">
      <c r="C60" s="13"/>
      <c r="D60" s="13"/>
      <c r="E60" s="13"/>
      <c r="F60" s="13"/>
      <c r="G60" s="13"/>
      <c r="H60" s="13"/>
      <c r="I60" s="13"/>
    </row>
    <row r="61" spans="1:9" ht="16.5">
      <c r="C61" s="13"/>
      <c r="D61" s="13"/>
      <c r="E61" s="13"/>
      <c r="F61" s="13"/>
      <c r="G61" s="13"/>
      <c r="H61" s="13"/>
      <c r="I61" s="13"/>
    </row>
    <row r="62" spans="1:9" ht="16.5">
      <c r="C62" s="13"/>
      <c r="D62" s="13"/>
      <c r="E62" s="13"/>
      <c r="F62" s="13"/>
      <c r="G62" s="13"/>
      <c r="H62" s="13"/>
      <c r="I62" s="13"/>
    </row>
    <row r="63" spans="1:9" ht="16.5">
      <c r="C63" s="13"/>
      <c r="D63" s="13"/>
      <c r="E63" s="13"/>
      <c r="F63" s="13"/>
      <c r="G63" s="13"/>
      <c r="H63" s="13"/>
      <c r="I63" s="13"/>
    </row>
    <row r="64" spans="1:9" ht="16.5">
      <c r="C64" s="13"/>
      <c r="D64" s="13"/>
      <c r="E64" s="13"/>
      <c r="F64" s="13"/>
      <c r="G64" s="13"/>
      <c r="H64" s="13"/>
      <c r="I64" s="13"/>
    </row>
    <row r="65" spans="1:9" ht="16.5">
      <c r="A65" s="13"/>
      <c r="B65" s="13"/>
      <c r="C65" s="13"/>
      <c r="D65" s="13"/>
      <c r="E65" s="13"/>
      <c r="F65" s="13"/>
      <c r="G65" s="13"/>
      <c r="H65" s="13"/>
      <c r="I65" s="13"/>
    </row>
    <row r="66" spans="1:9" ht="16.5">
      <c r="A66" s="13"/>
      <c r="B66" s="13"/>
      <c r="C66" s="13"/>
      <c r="D66" s="13"/>
      <c r="E66" s="13"/>
      <c r="F66" s="13"/>
      <c r="G66" s="13"/>
      <c r="H66" s="13"/>
      <c r="I66" s="13"/>
    </row>
    <row r="67" spans="1:9" ht="16.5">
      <c r="A67" s="13"/>
      <c r="B67" s="13"/>
      <c r="C67" s="13"/>
      <c r="D67" s="13"/>
      <c r="E67" s="13"/>
      <c r="F67" s="13"/>
      <c r="G67" s="13"/>
      <c r="H67" s="13"/>
      <c r="I67" s="13"/>
    </row>
    <row r="68" spans="1:9" ht="16.5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6.5">
      <c r="A69" s="13"/>
      <c r="B69" s="13"/>
      <c r="C69" s="13"/>
      <c r="D69" s="13"/>
      <c r="E69" s="13"/>
      <c r="F69" s="13"/>
      <c r="G69" s="13"/>
      <c r="H69" s="13"/>
      <c r="I69" s="13"/>
    </row>
    <row r="70" spans="1:9" ht="16.5">
      <c r="A70" s="13"/>
      <c r="B70" s="13"/>
      <c r="C70" s="13"/>
      <c r="D70" s="13"/>
      <c r="E70" s="13"/>
      <c r="F70" s="13"/>
      <c r="G70" s="13"/>
      <c r="H70" s="13"/>
      <c r="I70" s="13"/>
    </row>
    <row r="71" spans="1:9" ht="16.5">
      <c r="A71" s="13"/>
      <c r="B71" s="13"/>
      <c r="C71" s="13"/>
      <c r="D71" s="13"/>
      <c r="E71" s="13"/>
      <c r="F71" s="13"/>
      <c r="G71" s="13"/>
      <c r="H71" s="13"/>
      <c r="I71" s="13"/>
    </row>
    <row r="72" spans="1:9" ht="16.5">
      <c r="A72" s="13"/>
      <c r="B72" s="13"/>
      <c r="C72" s="13"/>
      <c r="D72" s="13"/>
      <c r="E72" s="13"/>
      <c r="F72" s="13"/>
      <c r="G72" s="13"/>
      <c r="H72" s="13"/>
      <c r="I72" s="13"/>
    </row>
    <row r="73" spans="1:9" ht="16.5">
      <c r="A73" s="13"/>
      <c r="B73" s="13"/>
      <c r="C73" s="13"/>
      <c r="D73" s="13"/>
      <c r="E73" s="13"/>
      <c r="F73" s="13"/>
      <c r="G73" s="13"/>
      <c r="H73" s="13"/>
      <c r="I73" s="13"/>
    </row>
    <row r="74" spans="1:9" ht="16.5">
      <c r="A74" s="13"/>
      <c r="B74" s="13"/>
      <c r="C74" s="13"/>
      <c r="D74" s="13"/>
      <c r="E74" s="13"/>
      <c r="F74" s="13"/>
      <c r="G74" s="13"/>
      <c r="H74" s="13"/>
      <c r="I74" s="13"/>
    </row>
    <row r="75" spans="1:9" ht="16.5">
      <c r="A75" s="13"/>
      <c r="B75" s="13"/>
      <c r="C75" s="13"/>
      <c r="D75" s="13"/>
      <c r="E75" s="13"/>
      <c r="F75" s="13"/>
      <c r="G75" s="13"/>
      <c r="H75" s="13"/>
      <c r="I75" s="13"/>
    </row>
    <row r="76" spans="1:9" ht="16.5">
      <c r="A76" s="13"/>
      <c r="B76" s="13"/>
      <c r="C76" s="13"/>
      <c r="D76" s="13"/>
      <c r="E76" s="13"/>
      <c r="F76" s="13"/>
      <c r="G76" s="13"/>
      <c r="H76" s="13"/>
      <c r="I76" s="13"/>
    </row>
    <row r="77" spans="1:9" ht="16.5">
      <c r="A77" s="13"/>
      <c r="B77" s="13"/>
      <c r="C77" s="13"/>
      <c r="D77" s="13"/>
      <c r="E77" s="13"/>
      <c r="F77" s="13"/>
      <c r="G77" s="13"/>
      <c r="H77" s="13"/>
      <c r="I77" s="13"/>
    </row>
    <row r="78" spans="1:9" ht="16.5">
      <c r="A78" s="13"/>
      <c r="B78" s="13"/>
      <c r="C78" s="13"/>
      <c r="D78" s="13"/>
      <c r="E78" s="13"/>
      <c r="F78" s="13"/>
      <c r="G78" s="13"/>
      <c r="H78" s="13"/>
      <c r="I78" s="13"/>
    </row>
    <row r="79" spans="1:9" ht="16.5">
      <c r="A79" s="13"/>
      <c r="B79" s="13"/>
      <c r="C79" s="13"/>
      <c r="D79" s="13"/>
      <c r="E79" s="13"/>
      <c r="F79" s="13"/>
      <c r="G79" s="13"/>
      <c r="H79" s="13"/>
      <c r="I79" s="13"/>
    </row>
    <row r="80" spans="1:9" ht="16.5">
      <c r="A80" s="13"/>
      <c r="B80" s="13"/>
      <c r="C80" s="13"/>
      <c r="D80" s="13"/>
      <c r="E80" s="13"/>
      <c r="F80" s="13"/>
      <c r="G80" s="13"/>
      <c r="H80" s="13"/>
      <c r="I80" s="13"/>
    </row>
    <row r="81" spans="1:9" ht="16.5">
      <c r="A81" s="13"/>
      <c r="B81" s="13"/>
      <c r="C81" s="13"/>
      <c r="D81" s="13"/>
      <c r="E81" s="13"/>
      <c r="F81" s="13"/>
      <c r="G81" s="13"/>
      <c r="H81" s="13"/>
      <c r="I81" s="13"/>
    </row>
    <row r="82" spans="1:9" ht="16.5">
      <c r="A82" s="13"/>
      <c r="B82" s="13"/>
      <c r="C82" s="13"/>
      <c r="D82" s="13"/>
      <c r="E82" s="13"/>
      <c r="F82" s="13"/>
      <c r="G82" s="13"/>
      <c r="H82" s="13"/>
      <c r="I82" s="13"/>
    </row>
    <row r="83" spans="1:9" ht="16.5">
      <c r="A83" s="13"/>
      <c r="B83" s="13"/>
      <c r="C83" s="13"/>
      <c r="D83" s="13"/>
      <c r="E83" s="13"/>
      <c r="F83" s="13"/>
      <c r="G83" s="13"/>
      <c r="H83" s="13"/>
      <c r="I83" s="13"/>
    </row>
    <row r="84" spans="1:9" ht="16.5">
      <c r="A84" s="13"/>
      <c r="B84" s="13"/>
      <c r="C84" s="13"/>
      <c r="D84" s="13"/>
      <c r="E84" s="13"/>
      <c r="F84" s="13"/>
      <c r="G84" s="13"/>
      <c r="H84" s="13"/>
      <c r="I84" s="13"/>
    </row>
    <row r="85" spans="1:9" ht="16.5">
      <c r="A85" s="13"/>
      <c r="B85" s="13"/>
      <c r="C85" s="13"/>
      <c r="D85" s="13"/>
      <c r="E85" s="13"/>
      <c r="F85" s="13"/>
      <c r="G85" s="13"/>
      <c r="H85" s="13"/>
      <c r="I85" s="13"/>
    </row>
    <row r="86" spans="1:9" ht="16.5">
      <c r="A86" s="13"/>
      <c r="B86" s="13"/>
      <c r="C86" s="13"/>
      <c r="D86" s="13"/>
      <c r="E86" s="13"/>
      <c r="F86" s="13"/>
      <c r="G86" s="13"/>
      <c r="H86" s="13"/>
      <c r="I86" s="13"/>
    </row>
    <row r="87" spans="1:9" ht="16.5">
      <c r="A87" s="13"/>
      <c r="B87" s="13"/>
      <c r="C87" s="13"/>
      <c r="D87" s="13"/>
      <c r="E87" s="13"/>
      <c r="F87" s="13"/>
      <c r="G87" s="13"/>
      <c r="H87" s="13"/>
      <c r="I87" s="13"/>
    </row>
    <row r="88" spans="1:9" ht="16.5">
      <c r="A88" s="13"/>
      <c r="B88" s="13"/>
      <c r="C88" s="13"/>
      <c r="D88" s="13"/>
      <c r="E88" s="13"/>
      <c r="F88" s="13"/>
      <c r="G88" s="13"/>
      <c r="H88" s="13"/>
      <c r="I88" s="13"/>
    </row>
    <row r="89" spans="1:9" ht="16.5">
      <c r="A89" s="13"/>
      <c r="B89" s="13"/>
      <c r="C89" s="13"/>
      <c r="D89" s="13"/>
      <c r="E89" s="13"/>
      <c r="F89" s="13"/>
      <c r="G89" s="13"/>
      <c r="H89" s="13"/>
      <c r="I89" s="13"/>
    </row>
    <row r="90" spans="1:9" ht="16.5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16.5">
      <c r="A91" s="13"/>
      <c r="B91" s="13"/>
      <c r="C91" s="13"/>
      <c r="D91" s="13"/>
      <c r="E91" s="13"/>
      <c r="F91" s="13"/>
      <c r="G91" s="13"/>
      <c r="H91" s="13"/>
      <c r="I91" s="13"/>
    </row>
    <row r="92" spans="1:9" ht="16.5">
      <c r="A92" s="13"/>
      <c r="B92" s="13"/>
      <c r="C92" s="13"/>
      <c r="D92" s="13"/>
      <c r="E92" s="13"/>
      <c r="F92" s="13"/>
      <c r="G92" s="13"/>
      <c r="H92" s="13"/>
      <c r="I92" s="13"/>
    </row>
    <row r="93" spans="1:9" ht="16.5">
      <c r="A93" s="13"/>
      <c r="B93" s="13"/>
      <c r="C93" s="13"/>
      <c r="D93" s="13"/>
      <c r="E93" s="13"/>
      <c r="F93" s="13"/>
      <c r="G93" s="13"/>
      <c r="H93" s="13"/>
      <c r="I93" s="13"/>
    </row>
    <row r="94" spans="1:9" ht="16.5">
      <c r="A94" s="13"/>
      <c r="B94" s="13"/>
      <c r="C94" s="13"/>
      <c r="D94" s="13"/>
      <c r="E94" s="13"/>
      <c r="F94" s="13"/>
      <c r="G94" s="13"/>
      <c r="H94" s="13"/>
      <c r="I94" s="13"/>
    </row>
    <row r="95" spans="1:9" ht="16.5">
      <c r="A95" s="13"/>
      <c r="B95" s="13"/>
      <c r="C95" s="13"/>
      <c r="D95" s="13"/>
      <c r="E95" s="13"/>
      <c r="F95" s="13"/>
      <c r="G95" s="13"/>
      <c r="H95" s="13"/>
      <c r="I95" s="13"/>
    </row>
    <row r="96" spans="1:9" ht="16.5">
      <c r="A96" s="13"/>
      <c r="B96" s="13"/>
      <c r="C96" s="13"/>
      <c r="D96" s="13"/>
      <c r="E96" s="13"/>
      <c r="F96" s="13"/>
      <c r="G96" s="13"/>
      <c r="H96" s="13"/>
      <c r="I96" s="13"/>
    </row>
    <row r="97" spans="1:9" ht="16.5">
      <c r="A97" s="13"/>
      <c r="B97" s="13"/>
      <c r="C97" s="13"/>
      <c r="D97" s="13"/>
      <c r="E97" s="13"/>
      <c r="F97" s="13"/>
      <c r="G97" s="13"/>
      <c r="H97" s="13"/>
      <c r="I97" s="13"/>
    </row>
    <row r="98" spans="1:9" ht="16.5">
      <c r="A98" s="13"/>
      <c r="B98" s="13"/>
      <c r="C98" s="13"/>
      <c r="D98" s="13"/>
      <c r="E98" s="13"/>
      <c r="F98" s="13"/>
      <c r="G98" s="13"/>
      <c r="H98" s="13"/>
      <c r="I98" s="13"/>
    </row>
    <row r="99" spans="1:9" ht="16.5">
      <c r="A99" s="13"/>
      <c r="B99" s="13"/>
      <c r="C99" s="13"/>
      <c r="D99" s="13"/>
      <c r="E99" s="13"/>
      <c r="F99" s="13"/>
      <c r="G99" s="13"/>
      <c r="H99" s="13"/>
      <c r="I99" s="13"/>
    </row>
    <row r="100" spans="1:9" ht="16.5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ht="16.5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ht="16.5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6.5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6.5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ht="16.5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 ht="16.5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 ht="16.5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 ht="16.5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 ht="16.5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 ht="16.5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 ht="16.5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 ht="16.5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 ht="16.5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 ht="16.5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 ht="16.5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 ht="16.5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 ht="16.5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 ht="16.5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 ht="16.5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 ht="16.5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 ht="16.5">
      <c r="A121" s="13"/>
      <c r="B121" s="13"/>
      <c r="C121" s="13"/>
      <c r="D121" s="13"/>
      <c r="E121" s="13"/>
      <c r="F121" s="13"/>
      <c r="G121" s="13"/>
      <c r="H121" s="13"/>
      <c r="I121" s="13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9282-6164-4F23-8F00-A2369B6B55B2}">
  <sheetPr>
    <tabColor rgb="FF92D050"/>
  </sheetPr>
  <dimension ref="A1:N54"/>
  <sheetViews>
    <sheetView view="pageBreakPreview" zoomScale="60" zoomScaleNormal="80" workbookViewId="0">
      <selection activeCell="E4" sqref="E4"/>
    </sheetView>
  </sheetViews>
  <sheetFormatPr defaultRowHeight="15"/>
  <cols>
    <col min="1" max="1" width="21.5703125" customWidth="1"/>
    <col min="2" max="2" width="38.42578125" customWidth="1"/>
    <col min="3" max="3" width="25" customWidth="1"/>
    <col min="4" max="4" width="28.85546875" customWidth="1"/>
    <col min="5" max="5" width="22.42578125" customWidth="1"/>
    <col min="6" max="6" width="25" customWidth="1"/>
    <col min="7" max="7" width="17.42578125" customWidth="1"/>
    <col min="8" max="8" width="26.5703125" customWidth="1"/>
    <col min="9" max="9" width="25.5703125" customWidth="1"/>
    <col min="10" max="10" width="21.42578125" customWidth="1"/>
    <col min="11" max="11" width="4.42578125" customWidth="1"/>
    <col min="12" max="12" width="22.5703125" customWidth="1"/>
    <col min="13" max="13" width="17.42578125" customWidth="1"/>
  </cols>
  <sheetData>
    <row r="1" spans="1:14" ht="26.25">
      <c r="A1" s="25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7.25">
      <c r="A2" s="63" t="s">
        <v>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6.5">
      <c r="A3" s="27" t="s">
        <v>475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6.5">
      <c r="A4" s="13"/>
      <c r="C4" s="13"/>
      <c r="D4" s="13"/>
      <c r="E4" s="463" t="s">
        <v>0</v>
      </c>
      <c r="F4" s="13"/>
      <c r="G4" s="13"/>
      <c r="H4" s="13"/>
      <c r="I4" s="13"/>
      <c r="J4" s="13"/>
      <c r="K4" s="13"/>
      <c r="L4" s="13"/>
      <c r="M4" s="13"/>
      <c r="N4" s="13"/>
    </row>
    <row r="5" spans="1:14" ht="18" thickBot="1">
      <c r="A5" s="6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21" thickBot="1">
      <c r="A6" s="29" t="str">
        <f>+'S&amp;D'!A12</f>
        <v>Electric Utilities</v>
      </c>
      <c r="B6" s="170"/>
      <c r="C6" s="13"/>
      <c r="D6" s="13"/>
      <c r="E6" s="13"/>
      <c r="F6" s="13"/>
      <c r="G6" s="13"/>
      <c r="H6" s="13"/>
    </row>
    <row r="7" spans="1:14" ht="18" thickBot="1">
      <c r="A7" s="63"/>
      <c r="C7" s="30"/>
      <c r="D7" s="30"/>
      <c r="E7" s="30"/>
      <c r="F7" s="30"/>
      <c r="G7" s="30"/>
      <c r="H7" s="13"/>
    </row>
    <row r="8" spans="1:14" ht="26.25">
      <c r="C8" s="13"/>
      <c r="D8" s="13"/>
      <c r="E8" s="32" t="s">
        <v>357</v>
      </c>
      <c r="F8" s="13"/>
      <c r="G8" s="13"/>
      <c r="H8" s="13"/>
    </row>
    <row r="9" spans="1:14" ht="21" thickBot="1">
      <c r="B9" s="31"/>
      <c r="C9" s="30"/>
      <c r="D9" s="30"/>
      <c r="E9" s="33" t="s">
        <v>488</v>
      </c>
      <c r="F9" s="30"/>
      <c r="G9" s="30"/>
      <c r="H9" s="13"/>
    </row>
    <row r="10" spans="1:14" ht="21.75" customHeight="1" thickBot="1">
      <c r="B10" s="34" t="s">
        <v>0</v>
      </c>
      <c r="C10" s="34" t="s">
        <v>0</v>
      </c>
      <c r="D10" s="34" t="s">
        <v>0</v>
      </c>
      <c r="E10" s="34" t="s">
        <v>0</v>
      </c>
      <c r="F10" s="34" t="s">
        <v>0</v>
      </c>
      <c r="G10" s="34" t="s">
        <v>0</v>
      </c>
      <c r="H10" s="30"/>
      <c r="I10" s="144"/>
      <c r="J10" s="144"/>
    </row>
    <row r="11" spans="1:14" ht="16.5">
      <c r="B11" s="35" t="s">
        <v>0</v>
      </c>
      <c r="C11" s="35" t="s">
        <v>3</v>
      </c>
      <c r="D11" s="35" t="s">
        <v>0</v>
      </c>
      <c r="E11" s="35" t="s">
        <v>358</v>
      </c>
      <c r="F11" s="35" t="s">
        <v>255</v>
      </c>
      <c r="G11" s="35" t="s">
        <v>27</v>
      </c>
      <c r="H11" s="35" t="s">
        <v>359</v>
      </c>
      <c r="I11" s="35" t="s">
        <v>359</v>
      </c>
      <c r="J11" s="35" t="s">
        <v>27</v>
      </c>
    </row>
    <row r="12" spans="1:14" ht="17.25" thickBot="1">
      <c r="B12" s="37" t="s">
        <v>2</v>
      </c>
      <c r="C12" s="37" t="s">
        <v>4</v>
      </c>
      <c r="D12" s="37" t="s">
        <v>28</v>
      </c>
      <c r="E12" s="37" t="s">
        <v>192</v>
      </c>
      <c r="F12" s="37" t="s">
        <v>360</v>
      </c>
      <c r="G12" s="37" t="s">
        <v>30</v>
      </c>
      <c r="H12" s="37" t="s">
        <v>383</v>
      </c>
      <c r="I12" s="37" t="s">
        <v>29</v>
      </c>
      <c r="J12" s="37" t="s">
        <v>30</v>
      </c>
    </row>
    <row r="13" spans="1:14">
      <c r="B13" s="39" t="s">
        <v>0</v>
      </c>
      <c r="C13" s="39" t="s">
        <v>0</v>
      </c>
      <c r="D13" s="40" t="s">
        <v>146</v>
      </c>
      <c r="E13" s="39" t="s">
        <v>147</v>
      </c>
      <c r="F13" s="39" t="s">
        <v>0</v>
      </c>
      <c r="G13" s="39" t="s">
        <v>0</v>
      </c>
      <c r="H13" s="39" t="s">
        <v>147</v>
      </c>
      <c r="I13" s="39" t="s">
        <v>0</v>
      </c>
      <c r="J13" s="39" t="s">
        <v>0</v>
      </c>
    </row>
    <row r="14" spans="1:14" ht="16.5">
      <c r="B14" s="35"/>
      <c r="C14" s="35"/>
      <c r="D14" s="35"/>
      <c r="E14" s="35"/>
      <c r="F14" s="35"/>
      <c r="G14" s="35"/>
      <c r="H14" s="35"/>
      <c r="I14" s="35"/>
      <c r="J14" s="35"/>
    </row>
    <row r="15" spans="1:14" ht="16.5">
      <c r="B15" s="13"/>
      <c r="C15" s="13"/>
      <c r="D15" s="13"/>
      <c r="E15" s="13"/>
      <c r="F15" s="13"/>
      <c r="G15" s="13"/>
      <c r="H15" s="13"/>
      <c r="I15" s="13"/>
      <c r="J15" s="13"/>
    </row>
    <row r="16" spans="1:14" ht="17.25">
      <c r="B16" s="63" t="str">
        <f>+'S&amp;D'!A22</f>
        <v>Alliant Energy</v>
      </c>
      <c r="C16" s="90" t="str">
        <f>+'S&amp;D'!B22</f>
        <v>LNT</v>
      </c>
      <c r="D16" s="167">
        <f>+'S&amp;D'!G22</f>
        <v>65.010000000000005</v>
      </c>
      <c r="E16" s="274">
        <v>17.3</v>
      </c>
      <c r="F16" s="368">
        <f t="shared" ref="F16:F19" si="0">D16/E16</f>
        <v>3.7578034682080927</v>
      </c>
      <c r="G16" s="57">
        <f t="shared" ref="G16:G30" si="1">1/F16</f>
        <v>0.26611290570681434</v>
      </c>
      <c r="H16" s="274">
        <v>29.7</v>
      </c>
      <c r="I16" s="368">
        <f t="shared" ref="I16:I30" si="2">D16/H16</f>
        <v>2.1888888888888891</v>
      </c>
      <c r="J16" s="57">
        <f t="shared" ref="J16:J30" si="3">1/I16</f>
        <v>0.45685279187817257</v>
      </c>
    </row>
    <row r="17" spans="2:10" ht="17.25">
      <c r="B17" s="63" t="str">
        <f>+'S&amp;D'!A23</f>
        <v>AMEREN Corporation</v>
      </c>
      <c r="C17" s="90" t="str">
        <f>+'S&amp;D'!B23</f>
        <v>AEE</v>
      </c>
      <c r="D17" s="167">
        <f>+'S&amp;D'!G23</f>
        <v>99.86</v>
      </c>
      <c r="E17" s="274">
        <v>32.75</v>
      </c>
      <c r="F17" s="368">
        <f t="shared" si="0"/>
        <v>3.0491603053435115</v>
      </c>
      <c r="G17" s="57">
        <f t="shared" si="1"/>
        <v>0.32795914279991989</v>
      </c>
      <c r="H17" s="274">
        <v>48.5</v>
      </c>
      <c r="I17" s="368">
        <f t="shared" si="2"/>
        <v>2.0589690721649485</v>
      </c>
      <c r="J17" s="57">
        <f t="shared" si="3"/>
        <v>0.4856799519327058</v>
      </c>
    </row>
    <row r="18" spans="2:10" ht="17.25">
      <c r="B18" s="63" t="str">
        <f>+'S&amp;D'!A24</f>
        <v>American Electric Power</v>
      </c>
      <c r="C18" s="90" t="str">
        <f>+'S&amp;D'!B24</f>
        <v>AEP</v>
      </c>
      <c r="D18" s="167">
        <f>+'S&amp;D'!G24</f>
        <v>115.31</v>
      </c>
      <c r="E18" s="274">
        <v>43.15</v>
      </c>
      <c r="F18" s="368">
        <f>D18/E18</f>
        <v>2.6723059096176129</v>
      </c>
      <c r="G18" s="57">
        <f>1/F18</f>
        <v>0.37420865493018818</v>
      </c>
      <c r="H18" s="274">
        <v>55.55</v>
      </c>
      <c r="I18" s="368">
        <f t="shared" si="2"/>
        <v>2.0757875787578759</v>
      </c>
      <c r="J18" s="57">
        <f t="shared" si="3"/>
        <v>0.48174486167721792</v>
      </c>
    </row>
    <row r="19" spans="2:10" ht="17.25">
      <c r="B19" s="63" t="str">
        <f>+'S&amp;D'!A25</f>
        <v>Centerpoint Energy</v>
      </c>
      <c r="C19" s="90" t="str">
        <f>+'S&amp;D'!B25</f>
        <v>CNP</v>
      </c>
      <c r="D19" s="167">
        <f>+'S&amp;D'!G25</f>
        <v>38.340000000000003</v>
      </c>
      <c r="E19" s="274">
        <v>15</v>
      </c>
      <c r="F19" s="368">
        <f t="shared" si="0"/>
        <v>2.556</v>
      </c>
      <c r="G19" s="57">
        <f t="shared" si="1"/>
        <v>0.39123630672926446</v>
      </c>
      <c r="H19" s="274">
        <v>18.649999999999999</v>
      </c>
      <c r="I19" s="368">
        <f t="shared" si="2"/>
        <v>2.0557640750670245</v>
      </c>
      <c r="J19" s="57">
        <f t="shared" si="3"/>
        <v>0.48643714136671873</v>
      </c>
    </row>
    <row r="20" spans="2:10" ht="17.25">
      <c r="B20" s="63" t="str">
        <f>+'S&amp;D'!A26</f>
        <v>CMS Energy</v>
      </c>
      <c r="C20" s="90" t="str">
        <f>+'S&amp;D'!B26</f>
        <v>CMS</v>
      </c>
      <c r="D20" s="167">
        <f>+'S&amp;D'!G26</f>
        <v>69.930000000000007</v>
      </c>
      <c r="E20" s="274">
        <v>27.9</v>
      </c>
      <c r="F20" s="368">
        <f t="shared" ref="F20:F25" si="4">D20/E20</f>
        <v>2.5064516129032262</v>
      </c>
      <c r="G20" s="57">
        <f t="shared" si="1"/>
        <v>0.39897039897039893</v>
      </c>
      <c r="H20" s="274">
        <v>30.65</v>
      </c>
      <c r="I20" s="368">
        <f t="shared" si="2"/>
        <v>2.2815660685154979</v>
      </c>
      <c r="J20" s="57">
        <f t="shared" si="3"/>
        <v>0.43829543829543821</v>
      </c>
    </row>
    <row r="21" spans="2:10" ht="17.25">
      <c r="B21" s="63" t="str">
        <f>+'S&amp;D'!A27</f>
        <v>DTE Energy</v>
      </c>
      <c r="C21" s="90" t="str">
        <f>+'S&amp;D'!B27</f>
        <v>DTE</v>
      </c>
      <c r="D21" s="167">
        <f>+'S&amp;D'!G27</f>
        <v>128.97999999999999</v>
      </c>
      <c r="E21" s="274">
        <v>72.45</v>
      </c>
      <c r="F21" s="368">
        <f>D21/E21</f>
        <v>1.7802622498274669</v>
      </c>
      <c r="G21" s="57">
        <f t="shared" si="1"/>
        <v>0.56171499457280205</v>
      </c>
      <c r="H21" s="274">
        <v>62.6</v>
      </c>
      <c r="I21" s="368">
        <f t="shared" si="2"/>
        <v>2.0603833865814694</v>
      </c>
      <c r="J21" s="57">
        <f t="shared" si="3"/>
        <v>0.48534656535897047</v>
      </c>
    </row>
    <row r="22" spans="2:10" ht="17.25">
      <c r="B22" s="63" t="str">
        <f>+'S&amp;D'!A28</f>
        <v>Duke Energy</v>
      </c>
      <c r="C22" s="90" t="str">
        <f>+'S&amp;D'!B28</f>
        <v>DUK</v>
      </c>
      <c r="D22" s="167">
        <f>+'S&amp;D'!G28</f>
        <v>117.21</v>
      </c>
      <c r="E22" s="274">
        <v>33.4</v>
      </c>
      <c r="F22" s="72">
        <f t="shared" si="4"/>
        <v>3.5092814371257486</v>
      </c>
      <c r="G22" s="57">
        <f t="shared" si="1"/>
        <v>0.28495862127804794</v>
      </c>
      <c r="H22" s="274">
        <v>37.5</v>
      </c>
      <c r="I22" s="368">
        <f t="shared" si="2"/>
        <v>3.1255999999999999</v>
      </c>
      <c r="J22" s="57">
        <f t="shared" si="3"/>
        <v>0.31993857179421553</v>
      </c>
    </row>
    <row r="23" spans="2:10" ht="17.25">
      <c r="B23" s="63" t="str">
        <f>+'S&amp;D'!A29</f>
        <v>Entergy Corp</v>
      </c>
      <c r="C23" s="90" t="str">
        <f>+'S&amp;D'!B29</f>
        <v>ETR</v>
      </c>
      <c r="D23" s="167">
        <f>+'S&amp;D'!G29</f>
        <v>92.43</v>
      </c>
      <c r="E23" s="274">
        <v>42.75</v>
      </c>
      <c r="F23" s="72">
        <f t="shared" si="4"/>
        <v>2.162105263157895</v>
      </c>
      <c r="G23" s="57">
        <f t="shared" si="1"/>
        <v>0.46251217137293082</v>
      </c>
      <c r="H23" s="274">
        <v>68</v>
      </c>
      <c r="I23" s="368">
        <f t="shared" si="2"/>
        <v>1.359264705882353</v>
      </c>
      <c r="J23" s="57">
        <f t="shared" si="3"/>
        <v>0.7356918749323812</v>
      </c>
    </row>
    <row r="24" spans="2:10" ht="17.25">
      <c r="B24" s="63" t="str">
        <f>+'S&amp;D'!A30</f>
        <v>Evergy Inc</v>
      </c>
      <c r="C24" s="90" t="str">
        <f>+'S&amp;D'!B30</f>
        <v>EVRG</v>
      </c>
      <c r="D24" s="167">
        <f>+'S&amp;D'!G30</f>
        <v>72.489999999999995</v>
      </c>
      <c r="E24" s="274">
        <v>33.4</v>
      </c>
      <c r="F24" s="72">
        <f t="shared" si="4"/>
        <v>2.1703592814371255</v>
      </c>
      <c r="G24" s="57">
        <f t="shared" si="1"/>
        <v>0.46075320733894337</v>
      </c>
      <c r="H24" s="274">
        <v>37.5</v>
      </c>
      <c r="I24" s="368">
        <f t="shared" si="2"/>
        <v>1.9330666666666665</v>
      </c>
      <c r="J24" s="57">
        <f t="shared" si="3"/>
        <v>0.51731273279072976</v>
      </c>
    </row>
    <row r="25" spans="2:10" ht="16.5" customHeight="1">
      <c r="B25" s="63" t="str">
        <f>+'S&amp;D'!A31</f>
        <v>FirstEnergy Corp</v>
      </c>
      <c r="C25" s="90" t="str">
        <f>+'S&amp;D'!B31</f>
        <v>FE</v>
      </c>
      <c r="D25" s="167">
        <f>+'S&amp;D'!G31</f>
        <v>44.77</v>
      </c>
      <c r="E25" s="274">
        <v>30.65</v>
      </c>
      <c r="F25" s="72">
        <f t="shared" si="4"/>
        <v>1.4606851549755304</v>
      </c>
      <c r="G25" s="57">
        <f t="shared" si="1"/>
        <v>0.68461023006477539</v>
      </c>
      <c r="H25" s="274">
        <v>32.6</v>
      </c>
      <c r="I25" s="368">
        <f t="shared" si="2"/>
        <v>1.3733128834355828</v>
      </c>
      <c r="J25" s="57">
        <f t="shared" si="3"/>
        <v>0.72816618271163724</v>
      </c>
    </row>
    <row r="26" spans="2:10" ht="17.25">
      <c r="B26" s="63" t="str">
        <f>+'S&amp;D'!A32</f>
        <v>OGE Energy Corp.</v>
      </c>
      <c r="C26" s="90" t="str">
        <f>+'S&amp;D'!B32</f>
        <v>OGE</v>
      </c>
      <c r="D26" s="167">
        <f>+'S&amp;D'!G32</f>
        <v>42.7</v>
      </c>
      <c r="E26" s="274">
        <v>25.8</v>
      </c>
      <c r="F26" s="72">
        <f t="shared" ref="F26:F30" si="5">D26/E26</f>
        <v>1.6550387596899225</v>
      </c>
      <c r="G26" s="57">
        <f t="shared" si="1"/>
        <v>0.60421545667447307</v>
      </c>
      <c r="H26" s="274">
        <v>23.25</v>
      </c>
      <c r="I26" s="368">
        <f t="shared" si="2"/>
        <v>1.8365591397849463</v>
      </c>
      <c r="J26" s="57">
        <f t="shared" si="3"/>
        <v>0.54449648711943788</v>
      </c>
    </row>
    <row r="27" spans="2:10" ht="17.25">
      <c r="B27" s="63" t="str">
        <f>+'S&amp;D'!A33</f>
        <v>Otter Tail Corp</v>
      </c>
      <c r="C27" s="90" t="str">
        <f>+'S&amp;D'!B33</f>
        <v>OTTR</v>
      </c>
      <c r="D27" s="167">
        <f>+'S&amp;D'!G33</f>
        <v>80.81</v>
      </c>
      <c r="E27" s="274">
        <v>16.45</v>
      </c>
      <c r="F27" s="72">
        <f t="shared" si="5"/>
        <v>4.9124620060790276</v>
      </c>
      <c r="G27" s="57">
        <f t="shared" si="1"/>
        <v>0.20356391535701027</v>
      </c>
      <c r="H27" s="274">
        <v>25.1</v>
      </c>
      <c r="I27" s="72">
        <f t="shared" si="2"/>
        <v>3.2195219123505976</v>
      </c>
      <c r="J27" s="57">
        <f t="shared" si="3"/>
        <v>0.31060512312832572</v>
      </c>
    </row>
    <row r="28" spans="2:10" ht="17.25">
      <c r="B28" s="63" t="str">
        <f>+'S&amp;D'!A34</f>
        <v>PPL Corporation</v>
      </c>
      <c r="C28" s="90" t="str">
        <f>+'S&amp;D'!B34</f>
        <v>PPL</v>
      </c>
      <c r="D28" s="167">
        <f>+'S&amp;D'!G34</f>
        <v>35.020000000000003</v>
      </c>
      <c r="E28" s="274">
        <v>12.6</v>
      </c>
      <c r="F28" s="72">
        <f t="shared" si="5"/>
        <v>2.7793650793650797</v>
      </c>
      <c r="G28" s="57">
        <f t="shared" si="1"/>
        <v>0.35979440319817241</v>
      </c>
      <c r="H28" s="274">
        <v>21.2</v>
      </c>
      <c r="I28" s="72">
        <f t="shared" si="2"/>
        <v>1.6518867924528304</v>
      </c>
      <c r="J28" s="57">
        <f t="shared" si="3"/>
        <v>0.60536836093660751</v>
      </c>
    </row>
    <row r="29" spans="2:10" ht="17.25">
      <c r="B29" s="63" t="str">
        <f>+'S&amp;D'!A35</f>
        <v>The Southern Company</v>
      </c>
      <c r="C29" s="90" t="str">
        <f>+'S&amp;D'!B35</f>
        <v>SO</v>
      </c>
      <c r="D29" s="167">
        <f>+'S&amp;D'!G35</f>
        <v>87.2</v>
      </c>
      <c r="E29" s="274">
        <v>27.1</v>
      </c>
      <c r="F29" s="72">
        <f t="shared" si="5"/>
        <v>3.2177121771217712</v>
      </c>
      <c r="G29" s="57">
        <f t="shared" si="1"/>
        <v>0.31077981651376146</v>
      </c>
      <c r="H29" s="274">
        <v>31.9</v>
      </c>
      <c r="I29" s="72">
        <f t="shared" si="2"/>
        <v>2.7335423197492164</v>
      </c>
      <c r="J29" s="57">
        <f t="shared" si="3"/>
        <v>0.36582568807339449</v>
      </c>
    </row>
    <row r="30" spans="2:10" ht="17.25">
      <c r="B30" s="63" t="str">
        <f>+'S&amp;D'!A36</f>
        <v>WEC Energy Group</v>
      </c>
      <c r="C30" s="90" t="str">
        <f>+'S&amp;D'!B36</f>
        <v>WEC</v>
      </c>
      <c r="D30" s="167">
        <f>+'S&amp;D'!G36</f>
        <v>105.46</v>
      </c>
      <c r="E30" s="274">
        <v>32.1</v>
      </c>
      <c r="F30" s="72">
        <f t="shared" si="5"/>
        <v>3.2853582554517131</v>
      </c>
      <c r="G30" s="57">
        <f t="shared" si="1"/>
        <v>0.30438080788924715</v>
      </c>
      <c r="H30" s="274">
        <v>42.5</v>
      </c>
      <c r="I30" s="72">
        <f t="shared" si="2"/>
        <v>2.4814117647058822</v>
      </c>
      <c r="J30" s="57">
        <f t="shared" si="3"/>
        <v>0.40299639673809978</v>
      </c>
    </row>
    <row r="31" spans="2:10" ht="10.5" customHeight="1" thickBot="1">
      <c r="B31" s="13"/>
      <c r="C31" s="71"/>
      <c r="D31" s="71"/>
      <c r="E31" s="71"/>
      <c r="F31" s="71"/>
      <c r="G31" s="264"/>
      <c r="H31" s="71"/>
      <c r="I31" s="71"/>
      <c r="J31" s="264"/>
    </row>
    <row r="32" spans="2:10" ht="17.25" thickTop="1">
      <c r="B32" s="13"/>
      <c r="D32" s="15" t="s">
        <v>64</v>
      </c>
      <c r="E32" s="17"/>
      <c r="F32" s="288">
        <f>MAX(F16:F30)</f>
        <v>4.9124620060790276</v>
      </c>
      <c r="G32" s="275">
        <f>MAX(G16:G30)</f>
        <v>0.68461023006477539</v>
      </c>
      <c r="H32" s="17"/>
      <c r="I32" s="17">
        <f>MAX(I16:I30)</f>
        <v>3.2195219123505976</v>
      </c>
      <c r="J32" s="275">
        <f>MAX(J16:J30)</f>
        <v>0.7356918749323812</v>
      </c>
    </row>
    <row r="33" spans="1:10" ht="16.5">
      <c r="B33" s="13"/>
      <c r="D33" s="15" t="s">
        <v>65</v>
      </c>
      <c r="E33" s="279"/>
      <c r="F33" s="291">
        <f>MIN(F16:F30)</f>
        <v>1.4606851549755304</v>
      </c>
      <c r="G33" s="276">
        <f>MIN(G16:G30)</f>
        <v>0.20356391535701027</v>
      </c>
      <c r="H33" s="279"/>
      <c r="I33" s="279">
        <f>MIN(I16:I30)</f>
        <v>1.359264705882353</v>
      </c>
      <c r="J33" s="276">
        <f>MIN(J16:J30)</f>
        <v>0.31060512312832572</v>
      </c>
    </row>
    <row r="34" spans="1:10" ht="16.5">
      <c r="B34" s="13"/>
      <c r="D34" s="15" t="s">
        <v>18</v>
      </c>
      <c r="E34" s="57" t="s">
        <v>0</v>
      </c>
      <c r="F34" s="22">
        <f>MEDIAN(F16:F30)</f>
        <v>2.6723059096176129</v>
      </c>
      <c r="G34" s="57">
        <f>MEDIAN(G16:G30)</f>
        <v>0.37420865493018818</v>
      </c>
      <c r="H34" s="57" t="s">
        <v>0</v>
      </c>
      <c r="I34" s="22">
        <f>MEDIAN(I16:I30)</f>
        <v>2.0603833865814694</v>
      </c>
      <c r="J34" s="57">
        <f>MEDIAN(J16:J30)</f>
        <v>0.48534656535897047</v>
      </c>
    </row>
    <row r="35" spans="1:10" ht="16.5">
      <c r="B35" s="13"/>
      <c r="D35" s="15" t="s">
        <v>19</v>
      </c>
      <c r="E35" s="73" t="s">
        <v>0</v>
      </c>
      <c r="F35" s="22">
        <f>AVERAGE(F16:F30)</f>
        <v>2.7649567306869143</v>
      </c>
      <c r="G35" s="57">
        <f>AVERAGE(G16:G30)</f>
        <v>0.39971806889311673</v>
      </c>
      <c r="H35" s="73" t="s">
        <v>0</v>
      </c>
      <c r="I35" s="22">
        <f>AVERAGE(I16:I30)</f>
        <v>2.1623683503335855</v>
      </c>
      <c r="J35" s="57">
        <f>AVERAGE(J16:J30)</f>
        <v>0.49098387791560355</v>
      </c>
    </row>
    <row r="36" spans="1:10" ht="17.25" thickBot="1">
      <c r="B36" s="13"/>
      <c r="C36" s="13"/>
      <c r="D36" s="13"/>
      <c r="E36" s="13"/>
      <c r="F36" s="13"/>
      <c r="H36" s="13"/>
      <c r="I36" s="13"/>
    </row>
    <row r="37" spans="1:10" ht="27" thickBot="1">
      <c r="B37" s="75" t="s">
        <v>0</v>
      </c>
      <c r="C37" s="13"/>
      <c r="D37" s="25" t="s">
        <v>152</v>
      </c>
      <c r="E37" s="25"/>
      <c r="F37" s="309">
        <v>2.76</v>
      </c>
      <c r="I37" s="309">
        <v>2.16</v>
      </c>
    </row>
    <row r="38" spans="1:10" ht="16.5">
      <c r="B38" s="75" t="s">
        <v>0</v>
      </c>
      <c r="C38" s="13"/>
      <c r="D38" s="13"/>
      <c r="E38" s="13"/>
      <c r="F38" s="13"/>
      <c r="G38" s="13"/>
      <c r="H38" s="13"/>
    </row>
    <row r="39" spans="1:10" ht="16.5">
      <c r="B39" s="75"/>
      <c r="C39" s="13"/>
      <c r="D39" s="13"/>
      <c r="E39" s="13"/>
      <c r="F39" s="13"/>
      <c r="G39" s="13"/>
      <c r="H39" s="13"/>
    </row>
    <row r="40" spans="1:10" ht="17.25">
      <c r="A40" s="110" t="s">
        <v>361</v>
      </c>
      <c r="B40" s="75"/>
      <c r="C40" s="13"/>
      <c r="D40" s="13"/>
      <c r="E40" s="13"/>
      <c r="F40" s="13"/>
      <c r="G40" s="13"/>
      <c r="H40" s="13"/>
    </row>
    <row r="41" spans="1:10" ht="17.25">
      <c r="A41" s="110" t="s">
        <v>362</v>
      </c>
      <c r="B41" s="75"/>
      <c r="C41" s="13"/>
      <c r="D41" s="13"/>
      <c r="E41" s="13"/>
      <c r="F41" s="13"/>
      <c r="G41" s="13"/>
      <c r="H41" s="13"/>
    </row>
    <row r="42" spans="1:10" ht="16.5">
      <c r="H42" s="13"/>
    </row>
    <row r="43" spans="1:10" ht="17.25">
      <c r="A43" s="110" t="s">
        <v>363</v>
      </c>
      <c r="H43" s="13"/>
    </row>
    <row r="44" spans="1:10" ht="17.25">
      <c r="A44" s="110" t="s">
        <v>364</v>
      </c>
    </row>
    <row r="45" spans="1:10" ht="17.25">
      <c r="A45" s="110" t="s">
        <v>365</v>
      </c>
    </row>
    <row r="52" spans="1:3" ht="17.25">
      <c r="A52" s="110"/>
      <c r="C52" s="252" t="s">
        <v>0</v>
      </c>
    </row>
    <row r="53" spans="1:3" ht="17.25">
      <c r="C53" s="252" t="s">
        <v>0</v>
      </c>
    </row>
    <row r="54" spans="1:3" ht="17.25">
      <c r="C54" s="252" t="s">
        <v>0</v>
      </c>
    </row>
  </sheetData>
  <pageMargins left="0.25" right="0.25" top="0.75" bottom="0.75" header="0.3" footer="0.3"/>
  <pageSetup scale="42" orientation="landscape" r:id="rId1"/>
  <rowBreaks count="1" manualBreakCount="1">
    <brk id="47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"/>
  <sheetViews>
    <sheetView topLeftCell="G136" workbookViewId="0">
      <selection activeCell="P136" sqref="P136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8341AC-F607-4A50-BEBC-7F08087F953C}"/>
</file>

<file path=customXml/itemProps2.xml><?xml version="1.0" encoding="utf-8"?>
<ds:datastoreItem xmlns:ds="http://schemas.openxmlformats.org/officeDocument/2006/customXml" ds:itemID="{5361FE0E-09BC-486D-AFCE-2A3E84C47543}"/>
</file>

<file path=customXml/itemProps3.xml><?xml version="1.0" encoding="utf-8"?>
<ds:datastoreItem xmlns:ds="http://schemas.openxmlformats.org/officeDocument/2006/customXml" ds:itemID="{A38C0653-8B1E-42C1-AD0E-3017293F9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Dividends </vt:lpstr>
      <vt:lpstr>Earnings</vt:lpstr>
      <vt:lpstr>Debt</vt:lpstr>
      <vt:lpstr>Direct GCF</vt:lpstr>
      <vt:lpstr>Direct NOPAT</vt:lpstr>
      <vt:lpstr>CAPM</vt:lpstr>
      <vt:lpstr>Growth &amp; Inflation Rates</vt:lpstr>
      <vt:lpstr>Indicated Yield Equity Rate </vt:lpstr>
      <vt:lpstr>Single Stage Div Growth Model</vt:lpstr>
      <vt:lpstr>Two-Stage Dividend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Rates'!Print_Area</vt:lpstr>
      <vt:lpstr>'Indicated Yield Equity Rate 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Dividend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Electric Utility</dc:title>
  <dc:creator>%USERNAME%</dc:creator>
  <cp:lastModifiedBy>Carbin, Robert A (DOR)</cp:lastModifiedBy>
  <cp:lastPrinted>2023-05-30T14:17:04Z</cp:lastPrinted>
  <dcterms:created xsi:type="dcterms:W3CDTF">2016-02-12T19:29:24Z</dcterms:created>
  <dcterms:modified xsi:type="dcterms:W3CDTF">2026-09-21T18:17:39Z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